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การตอบแบบฟอร์ม 1" sheetId="1" r:id="rId4"/>
    <sheet state="visible" name="pzemsheet" sheetId="2" r:id="rId5"/>
    <sheet state="visible" name="aj" sheetId="3" r:id="rId6"/>
    <sheet state="visible" name="niw" sheetId="4" r:id="rId7"/>
    <sheet state="visible" name="hsem" sheetId="5" r:id="rId8"/>
    <sheet state="visible" name="hsem8mindatamake" sheetId="6" r:id="rId9"/>
  </sheets>
  <definedNames/>
  <calcPr/>
</workbook>
</file>

<file path=xl/sharedStrings.xml><?xml version="1.0" encoding="utf-8"?>
<sst xmlns="http://schemas.openxmlformats.org/spreadsheetml/2006/main" count="53" uniqueCount="17">
  <si>
    <t>ประทับเวลา</t>
  </si>
  <si>
    <t>คำถามไม่ระบุชื่อ</t>
  </si>
  <si>
    <t>Current</t>
  </si>
  <si>
    <t>Voltage</t>
  </si>
  <si>
    <t>Power - W</t>
  </si>
  <si>
    <t>Energy - Wh</t>
  </si>
  <si>
    <t>PF</t>
  </si>
  <si>
    <t>Hz</t>
  </si>
  <si>
    <t>Time</t>
  </si>
  <si>
    <t>Power from Last row</t>
  </si>
  <si>
    <t>Energy from Last row</t>
  </si>
  <si>
    <t>Last Update</t>
  </si>
  <si>
    <t>Date</t>
  </si>
  <si>
    <t>พัดลมทำงาน</t>
  </si>
  <si>
    <t>แบตเต็ม</t>
  </si>
  <si>
    <t>esp 32 ค้าง</t>
  </si>
  <si>
    <t>รีตอนเช้า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</si>
</sst>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, H:mm:ss"/>
    <numFmt numFmtId="165" formatCode="d/m/yyyy"/>
    <numFmt numFmtId="166" formatCode="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65" xfId="0" applyFont="1" applyNumberFormat="1"/>
    <xf borderId="0" fillId="0" fontId="1" numFmtId="21" xfId="0" applyFont="1" applyNumberFormat="1"/>
    <xf borderId="0" fillId="0" fontId="2" numFmtId="166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4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4.63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I1" s="2" t="s">
        <v>9</v>
      </c>
      <c r="J1" s="2" t="s">
        <v>10</v>
      </c>
      <c r="K1" s="2" t="s">
        <v>11</v>
      </c>
    </row>
    <row r="2">
      <c r="A2" s="2">
        <v>0.06</v>
      </c>
      <c r="B2" s="2">
        <v>225.3</v>
      </c>
      <c r="C2" s="2">
        <v>4.3</v>
      </c>
      <c r="D2" s="2">
        <v>6.46</v>
      </c>
      <c r="E2" s="2">
        <v>0.33</v>
      </c>
      <c r="F2" s="2">
        <v>49.9</v>
      </c>
      <c r="G2" s="3">
        <v>44465.38037493055</v>
      </c>
      <c r="I2" s="2">
        <v>6.2</v>
      </c>
      <c r="J2" s="2">
        <v>6.46</v>
      </c>
      <c r="K2" s="4">
        <v>564.0</v>
      </c>
      <c r="M2" s="4"/>
    </row>
    <row r="3">
      <c r="A3" s="2">
        <v>0.06</v>
      </c>
      <c r="B3" s="2">
        <v>225.3</v>
      </c>
      <c r="C3" s="2">
        <v>4.3</v>
      </c>
      <c r="D3" s="2">
        <v>6.46</v>
      </c>
      <c r="E3" s="2">
        <v>0.33</v>
      </c>
      <c r="F3" s="2">
        <v>49.9</v>
      </c>
      <c r="G3" s="3">
        <v>44465.38041721065</v>
      </c>
    </row>
    <row r="4">
      <c r="A4" s="2">
        <v>0.06</v>
      </c>
      <c r="B4" s="2">
        <v>225.2</v>
      </c>
      <c r="C4" s="2">
        <v>4.3</v>
      </c>
      <c r="D4" s="2">
        <v>6.46</v>
      </c>
      <c r="E4" s="2">
        <v>0.33</v>
      </c>
      <c r="F4" s="2">
        <v>49.9</v>
      </c>
      <c r="G4" s="3">
        <v>44465.380543067135</v>
      </c>
    </row>
    <row r="5">
      <c r="A5" s="2">
        <v>0.06</v>
      </c>
      <c r="B5" s="2">
        <v>225.0</v>
      </c>
      <c r="C5" s="2">
        <v>4.3</v>
      </c>
      <c r="D5" s="2">
        <v>6.46</v>
      </c>
      <c r="E5" s="2">
        <v>0.33</v>
      </c>
      <c r="F5" s="2">
        <v>49.9</v>
      </c>
      <c r="G5" s="3">
        <v>44465.38064258102</v>
      </c>
    </row>
    <row r="6">
      <c r="A6" s="2">
        <v>0.06</v>
      </c>
      <c r="B6" s="2">
        <v>224.8</v>
      </c>
      <c r="C6" s="2">
        <v>4.3</v>
      </c>
      <c r="D6" s="2">
        <v>6.46</v>
      </c>
      <c r="E6" s="2">
        <v>0.33</v>
      </c>
      <c r="F6" s="2">
        <v>50.0</v>
      </c>
      <c r="G6" s="3">
        <v>44465.38074868056</v>
      </c>
    </row>
    <row r="7">
      <c r="A7" s="2">
        <v>0.06</v>
      </c>
      <c r="B7" s="2">
        <v>225.0</v>
      </c>
      <c r="C7" s="2">
        <v>4.3</v>
      </c>
      <c r="D7" s="2">
        <v>6.46</v>
      </c>
      <c r="E7" s="2">
        <v>0.33</v>
      </c>
      <c r="F7" s="2">
        <v>49.9</v>
      </c>
      <c r="G7" s="3">
        <v>44465.38086146991</v>
      </c>
    </row>
    <row r="8">
      <c r="A8" s="2">
        <v>0.06</v>
      </c>
      <c r="B8" s="2">
        <v>222.8</v>
      </c>
      <c r="C8" s="2">
        <v>4.3</v>
      </c>
      <c r="D8" s="2">
        <v>6.46</v>
      </c>
      <c r="E8" s="2">
        <v>0.33</v>
      </c>
      <c r="F8" s="2">
        <v>50.0</v>
      </c>
      <c r="G8" s="3">
        <v>44465.38097008102</v>
      </c>
    </row>
    <row r="9">
      <c r="A9" s="2">
        <v>0.04</v>
      </c>
      <c r="B9" s="2">
        <v>223.1</v>
      </c>
      <c r="C9" s="2">
        <v>0.5</v>
      </c>
      <c r="D9" s="2">
        <v>6.46</v>
      </c>
      <c r="E9" s="2">
        <v>0.06</v>
      </c>
      <c r="F9" s="2">
        <v>50.0</v>
      </c>
      <c r="G9" s="3">
        <v>44465.38107351852</v>
      </c>
    </row>
    <row r="10">
      <c r="A10" s="2">
        <v>0.04</v>
      </c>
      <c r="B10" s="2">
        <v>222.9</v>
      </c>
      <c r="C10" s="2">
        <v>0.5</v>
      </c>
      <c r="D10" s="2">
        <v>6.46</v>
      </c>
      <c r="E10" s="2">
        <v>0.06</v>
      </c>
      <c r="F10" s="2">
        <v>50.0</v>
      </c>
      <c r="G10" s="3">
        <v>44465.38117707176</v>
      </c>
    </row>
    <row r="11">
      <c r="A11" s="2">
        <v>0.04</v>
      </c>
      <c r="B11" s="2">
        <v>222.6</v>
      </c>
      <c r="C11" s="2">
        <v>0.5</v>
      </c>
      <c r="D11" s="2">
        <v>6.46</v>
      </c>
      <c r="E11" s="2">
        <v>0.06</v>
      </c>
      <c r="F11" s="2">
        <v>50.0</v>
      </c>
      <c r="G11" s="3">
        <v>44465.38133903935</v>
      </c>
    </row>
    <row r="12">
      <c r="A12" s="2">
        <v>0.04</v>
      </c>
      <c r="B12" s="2">
        <v>222.7</v>
      </c>
      <c r="C12" s="2">
        <v>0.6</v>
      </c>
      <c r="D12" s="2">
        <v>6.46</v>
      </c>
      <c r="E12" s="2">
        <v>0.08</v>
      </c>
      <c r="F12" s="2">
        <v>50.0</v>
      </c>
      <c r="G12" s="3">
        <v>44465.38144793981</v>
      </c>
    </row>
    <row r="13">
      <c r="A13" s="2">
        <v>0.03</v>
      </c>
      <c r="B13" s="2">
        <v>223.3</v>
      </c>
      <c r="C13" s="2">
        <v>0.0</v>
      </c>
      <c r="D13" s="2">
        <v>6.46</v>
      </c>
      <c r="E13" s="2">
        <v>0.0</v>
      </c>
      <c r="F13" s="2">
        <v>50.0</v>
      </c>
      <c r="G13" s="3">
        <v>44465.38155116898</v>
      </c>
    </row>
    <row r="14">
      <c r="A14" s="2">
        <v>0.04</v>
      </c>
      <c r="B14" s="2">
        <v>223.7</v>
      </c>
      <c r="C14" s="2">
        <v>0.5</v>
      </c>
      <c r="D14" s="2">
        <v>6.46</v>
      </c>
      <c r="E14" s="2">
        <v>0.06</v>
      </c>
      <c r="F14" s="2">
        <v>50.0</v>
      </c>
      <c r="G14" s="3">
        <v>44465.38165393518</v>
      </c>
    </row>
    <row r="15">
      <c r="A15" s="2">
        <v>0.04</v>
      </c>
      <c r="B15" s="2">
        <v>223.0</v>
      </c>
      <c r="C15" s="2">
        <v>0.5</v>
      </c>
      <c r="D15" s="2">
        <v>6.46</v>
      </c>
      <c r="E15" s="2">
        <v>0.06</v>
      </c>
      <c r="F15" s="2">
        <v>49.9</v>
      </c>
      <c r="G15" s="3">
        <v>44465.38176344907</v>
      </c>
    </row>
    <row r="16">
      <c r="A16" s="2">
        <v>0.04</v>
      </c>
      <c r="B16" s="2">
        <v>223.6</v>
      </c>
      <c r="C16" s="2">
        <v>0.5</v>
      </c>
      <c r="D16" s="2">
        <v>6.46</v>
      </c>
      <c r="E16" s="2">
        <v>0.06</v>
      </c>
      <c r="F16" s="2">
        <v>49.9</v>
      </c>
      <c r="G16" s="3">
        <v>44465.38186925926</v>
      </c>
    </row>
    <row r="17">
      <c r="A17" s="2">
        <v>0.04</v>
      </c>
      <c r="B17" s="2">
        <v>223.6</v>
      </c>
      <c r="C17" s="2">
        <v>0.5</v>
      </c>
      <c r="D17" s="2">
        <v>6.46</v>
      </c>
      <c r="E17" s="2">
        <v>0.06</v>
      </c>
      <c r="F17" s="2">
        <v>49.9</v>
      </c>
      <c r="G17" s="3">
        <v>44465.381979375</v>
      </c>
    </row>
    <row r="18">
      <c r="A18" s="2">
        <v>0.04</v>
      </c>
      <c r="B18" s="2">
        <v>223.6</v>
      </c>
      <c r="C18" s="2">
        <v>0.5</v>
      </c>
      <c r="D18" s="2">
        <v>6.46</v>
      </c>
      <c r="E18" s="2">
        <v>0.06</v>
      </c>
      <c r="F18" s="2">
        <v>49.9</v>
      </c>
      <c r="G18" s="3">
        <v>44465.38208512732</v>
      </c>
    </row>
    <row r="19">
      <c r="A19" s="2">
        <v>0.04</v>
      </c>
      <c r="B19" s="2">
        <v>223.8</v>
      </c>
      <c r="C19" s="2">
        <v>0.6</v>
      </c>
      <c r="D19" s="2">
        <v>6.46</v>
      </c>
      <c r="E19" s="2">
        <v>0.08</v>
      </c>
      <c r="F19" s="2">
        <v>49.9</v>
      </c>
      <c r="G19" s="3">
        <v>44465.382189930555</v>
      </c>
    </row>
    <row r="20">
      <c r="A20" s="2">
        <v>0.04</v>
      </c>
      <c r="B20" s="2">
        <v>223.7</v>
      </c>
      <c r="C20" s="2">
        <v>0.5</v>
      </c>
      <c r="D20" s="2">
        <v>6.46</v>
      </c>
      <c r="E20" s="2">
        <v>0.06</v>
      </c>
      <c r="F20" s="2">
        <v>49.9</v>
      </c>
      <c r="G20" s="3">
        <v>44465.382298553246</v>
      </c>
    </row>
    <row r="21">
      <c r="A21" s="2">
        <v>0.04</v>
      </c>
      <c r="B21" s="2">
        <v>223.7</v>
      </c>
      <c r="C21" s="2">
        <v>0.5</v>
      </c>
      <c r="D21" s="2">
        <v>6.46</v>
      </c>
      <c r="E21" s="2">
        <v>0.06</v>
      </c>
      <c r="F21" s="2">
        <v>49.9</v>
      </c>
      <c r="G21" s="3">
        <v>44465.382400532406</v>
      </c>
    </row>
    <row r="22">
      <c r="A22" s="2">
        <v>0.04</v>
      </c>
      <c r="B22" s="2">
        <v>223.2</v>
      </c>
      <c r="C22" s="2">
        <v>0.6</v>
      </c>
      <c r="D22" s="2">
        <v>6.46</v>
      </c>
      <c r="E22" s="2">
        <v>0.08</v>
      </c>
      <c r="F22" s="2">
        <v>50.0</v>
      </c>
      <c r="G22" s="3">
        <v>44465.38250840278</v>
      </c>
    </row>
    <row r="23">
      <c r="A23" s="2">
        <v>0.03</v>
      </c>
      <c r="B23" s="2">
        <v>223.3</v>
      </c>
      <c r="C23" s="2">
        <v>0.0</v>
      </c>
      <c r="D23" s="2">
        <v>6.46</v>
      </c>
      <c r="E23" s="2">
        <v>0.0</v>
      </c>
      <c r="F23" s="2">
        <v>50.0</v>
      </c>
      <c r="G23" s="3">
        <v>44465.38261453704</v>
      </c>
    </row>
    <row r="24">
      <c r="A24" s="2">
        <v>0.04</v>
      </c>
      <c r="B24" s="2">
        <v>223.3</v>
      </c>
      <c r="C24" s="2">
        <v>0.0</v>
      </c>
      <c r="D24" s="2">
        <v>6.46</v>
      </c>
      <c r="E24" s="2">
        <v>0.0</v>
      </c>
      <c r="F24" s="2">
        <v>50.0</v>
      </c>
      <c r="G24" s="3">
        <v>44465.38271958333</v>
      </c>
    </row>
    <row r="25">
      <c r="A25" s="2">
        <v>0.06</v>
      </c>
      <c r="B25" s="2">
        <v>223.5</v>
      </c>
      <c r="C25" s="2">
        <v>4.4</v>
      </c>
      <c r="D25" s="2">
        <v>6.46</v>
      </c>
      <c r="E25" s="2">
        <v>0.34</v>
      </c>
      <c r="F25" s="2">
        <v>50.0</v>
      </c>
      <c r="G25" s="3">
        <v>44465.38282115741</v>
      </c>
    </row>
    <row r="26">
      <c r="A26" s="2">
        <v>0.08</v>
      </c>
      <c r="B26" s="2">
        <v>223.8</v>
      </c>
      <c r="C26" s="2">
        <v>7.1</v>
      </c>
      <c r="D26" s="2">
        <v>6.46</v>
      </c>
      <c r="E26" s="2">
        <v>0.41</v>
      </c>
      <c r="F26" s="2">
        <v>50.0</v>
      </c>
      <c r="G26" s="3">
        <v>44465.38292358797</v>
      </c>
    </row>
    <row r="27">
      <c r="A27" s="2">
        <v>0.09</v>
      </c>
      <c r="B27" s="2">
        <v>223.4</v>
      </c>
      <c r="C27" s="2">
        <v>8.5</v>
      </c>
      <c r="D27" s="2">
        <v>6.46</v>
      </c>
      <c r="E27" s="2">
        <v>0.44</v>
      </c>
      <c r="F27" s="2">
        <v>50.0</v>
      </c>
      <c r="G27" s="3">
        <v>44465.38303237269</v>
      </c>
    </row>
    <row r="28">
      <c r="A28" s="2">
        <v>0.09</v>
      </c>
      <c r="B28" s="2">
        <v>223.2</v>
      </c>
      <c r="C28" s="2">
        <v>9.1</v>
      </c>
      <c r="D28" s="2">
        <v>6.46</v>
      </c>
      <c r="E28" s="2">
        <v>0.46</v>
      </c>
      <c r="F28" s="2">
        <v>50.0</v>
      </c>
      <c r="G28" s="3">
        <v>44465.383144050924</v>
      </c>
    </row>
    <row r="29">
      <c r="A29" s="2">
        <v>0.08</v>
      </c>
      <c r="B29" s="2">
        <v>223.1</v>
      </c>
      <c r="C29" s="2">
        <v>7.8</v>
      </c>
      <c r="D29" s="2">
        <v>6.46</v>
      </c>
      <c r="E29" s="2">
        <v>0.43</v>
      </c>
      <c r="F29" s="2">
        <v>50.0</v>
      </c>
      <c r="G29" s="3">
        <v>44465.3832521875</v>
      </c>
    </row>
    <row r="30">
      <c r="A30" s="2">
        <v>0.08</v>
      </c>
      <c r="B30" s="2">
        <v>223.6</v>
      </c>
      <c r="C30" s="2">
        <v>7.8</v>
      </c>
      <c r="D30" s="2">
        <v>6.46</v>
      </c>
      <c r="E30" s="2">
        <v>0.44</v>
      </c>
      <c r="F30" s="2">
        <v>50.0</v>
      </c>
      <c r="G30" s="3">
        <v>44465.3833759375</v>
      </c>
    </row>
    <row r="31">
      <c r="A31" s="2">
        <v>0.09</v>
      </c>
      <c r="B31" s="2">
        <v>223.6</v>
      </c>
      <c r="C31" s="2">
        <v>8.7</v>
      </c>
      <c r="D31" s="2">
        <v>6.46</v>
      </c>
      <c r="E31" s="2">
        <v>0.45</v>
      </c>
      <c r="F31" s="2">
        <v>50.0</v>
      </c>
      <c r="G31" s="3">
        <v>44465.38348694444</v>
      </c>
    </row>
    <row r="32">
      <c r="A32" s="2">
        <v>0.08</v>
      </c>
      <c r="B32" s="2">
        <v>223.4</v>
      </c>
      <c r="C32" s="2">
        <v>7.7</v>
      </c>
      <c r="D32" s="2">
        <v>6.46</v>
      </c>
      <c r="E32" s="2">
        <v>0.43</v>
      </c>
      <c r="F32" s="2">
        <v>49.9</v>
      </c>
      <c r="G32" s="3">
        <v>44465.38359766203</v>
      </c>
    </row>
    <row r="33">
      <c r="A33" s="2">
        <v>0.08</v>
      </c>
      <c r="B33" s="2">
        <v>223.2</v>
      </c>
      <c r="C33" s="2">
        <v>7.0</v>
      </c>
      <c r="D33" s="2">
        <v>6.46</v>
      </c>
      <c r="E33" s="2">
        <v>0.41</v>
      </c>
      <c r="F33" s="2">
        <v>49.9</v>
      </c>
      <c r="G33" s="3">
        <v>44465.383703217594</v>
      </c>
    </row>
    <row r="34">
      <c r="A34" s="2">
        <v>0.08</v>
      </c>
      <c r="B34" s="2">
        <v>223.5</v>
      </c>
      <c r="C34" s="2">
        <v>7.4</v>
      </c>
      <c r="D34" s="2">
        <v>6.46</v>
      </c>
      <c r="E34" s="2">
        <v>0.42</v>
      </c>
      <c r="F34" s="2">
        <v>49.9</v>
      </c>
      <c r="G34" s="3">
        <v>44465.38380575231</v>
      </c>
    </row>
    <row r="35">
      <c r="A35" s="2">
        <v>0.07</v>
      </c>
      <c r="B35" s="2">
        <v>223.5</v>
      </c>
      <c r="C35" s="2">
        <v>6.6</v>
      </c>
      <c r="D35" s="2">
        <v>6.46</v>
      </c>
      <c r="E35" s="2">
        <v>0.4</v>
      </c>
      <c r="F35" s="2">
        <v>49.9</v>
      </c>
      <c r="G35" s="3">
        <v>44465.38390707176</v>
      </c>
    </row>
    <row r="36">
      <c r="A36" s="2">
        <v>0.08</v>
      </c>
      <c r="B36" s="2">
        <v>223.2</v>
      </c>
      <c r="C36" s="2">
        <v>7.0</v>
      </c>
      <c r="D36" s="2">
        <v>6.46</v>
      </c>
      <c r="E36" s="2">
        <v>0.41</v>
      </c>
      <c r="F36" s="2">
        <v>49.9</v>
      </c>
      <c r="G36" s="3">
        <v>44465.384008124995</v>
      </c>
    </row>
    <row r="37">
      <c r="A37" s="2">
        <v>0.08</v>
      </c>
      <c r="B37" s="2">
        <v>222.4</v>
      </c>
      <c r="C37" s="2">
        <v>7.8</v>
      </c>
      <c r="D37" s="2">
        <v>6.46</v>
      </c>
      <c r="E37" s="2">
        <v>0.43</v>
      </c>
      <c r="F37" s="2">
        <v>50.0</v>
      </c>
      <c r="G37" s="3">
        <v>44465.384112395834</v>
      </c>
    </row>
    <row r="38">
      <c r="A38" s="2">
        <v>0.08</v>
      </c>
      <c r="B38" s="2">
        <v>222.9</v>
      </c>
      <c r="C38" s="2">
        <v>7.1</v>
      </c>
      <c r="D38" s="2">
        <v>6.46</v>
      </c>
      <c r="E38" s="2">
        <v>0.42</v>
      </c>
      <c r="F38" s="2">
        <v>50.0</v>
      </c>
      <c r="G38" s="3">
        <v>44465.38422263889</v>
      </c>
    </row>
    <row r="39">
      <c r="A39" s="2">
        <v>0.07</v>
      </c>
      <c r="B39" s="2">
        <v>224.6</v>
      </c>
      <c r="C39" s="2">
        <v>7.4</v>
      </c>
      <c r="D39" s="2">
        <v>6.46</v>
      </c>
      <c r="E39" s="2">
        <v>0.45</v>
      </c>
      <c r="F39" s="2">
        <v>50.0</v>
      </c>
      <c r="G39" s="3">
        <v>44465.384325520834</v>
      </c>
    </row>
    <row r="40">
      <c r="A40" s="2">
        <v>0.07</v>
      </c>
      <c r="B40" s="2">
        <v>225.1</v>
      </c>
      <c r="C40" s="2">
        <v>7.0</v>
      </c>
      <c r="D40" s="2">
        <v>6.46</v>
      </c>
      <c r="E40" s="2">
        <v>0.44</v>
      </c>
      <c r="F40" s="2">
        <v>50.0</v>
      </c>
      <c r="G40" s="3">
        <v>44465.38465478009</v>
      </c>
    </row>
    <row r="41">
      <c r="A41" s="2">
        <v>0.08</v>
      </c>
      <c r="B41" s="2">
        <v>225.0</v>
      </c>
      <c r="C41" s="2">
        <v>7.7</v>
      </c>
      <c r="D41" s="2">
        <v>6.46</v>
      </c>
      <c r="E41" s="2">
        <v>0.46</v>
      </c>
      <c r="F41" s="2">
        <v>50.0</v>
      </c>
      <c r="G41" s="3">
        <v>44465.38486157407</v>
      </c>
    </row>
    <row r="42">
      <c r="A42" s="2">
        <v>0.08</v>
      </c>
      <c r="B42" s="2">
        <v>224.6</v>
      </c>
      <c r="C42" s="2">
        <v>8.0</v>
      </c>
      <c r="D42" s="2">
        <v>6.46</v>
      </c>
      <c r="E42" s="2">
        <v>0.46</v>
      </c>
      <c r="F42" s="2">
        <v>50.0</v>
      </c>
      <c r="G42" s="3">
        <v>44465.385157627315</v>
      </c>
    </row>
    <row r="43">
      <c r="A43" s="2">
        <v>0.08</v>
      </c>
      <c r="B43" s="2">
        <v>224.7</v>
      </c>
      <c r="C43" s="2">
        <v>8.1</v>
      </c>
      <c r="D43" s="2">
        <v>6.46</v>
      </c>
      <c r="E43" s="2">
        <v>0.47</v>
      </c>
      <c r="F43" s="2">
        <v>50.0</v>
      </c>
      <c r="G43" s="3">
        <v>44465.38526597222</v>
      </c>
    </row>
    <row r="44">
      <c r="A44" s="2">
        <v>0.08</v>
      </c>
      <c r="B44" s="2">
        <v>224.8</v>
      </c>
      <c r="C44" s="2">
        <v>8.6</v>
      </c>
      <c r="D44" s="2">
        <v>6.46</v>
      </c>
      <c r="E44" s="2">
        <v>0.48</v>
      </c>
      <c r="F44" s="2">
        <v>50.0</v>
      </c>
      <c r="G44" s="3">
        <v>44465.38537246527</v>
      </c>
    </row>
    <row r="45">
      <c r="A45" s="2">
        <v>0.08</v>
      </c>
      <c r="B45" s="2">
        <v>224.6</v>
      </c>
      <c r="C45" s="2">
        <v>8.1</v>
      </c>
      <c r="D45" s="2">
        <v>6.46</v>
      </c>
      <c r="E45" s="2">
        <v>0.47</v>
      </c>
      <c r="F45" s="2">
        <v>50.0</v>
      </c>
      <c r="G45" s="3">
        <v>44465.38548012731</v>
      </c>
    </row>
    <row r="46">
      <c r="A46" s="2">
        <v>0.08</v>
      </c>
      <c r="B46" s="2">
        <v>225.0</v>
      </c>
      <c r="C46" s="2">
        <v>8.3</v>
      </c>
      <c r="D46" s="2">
        <v>6.46</v>
      </c>
      <c r="E46" s="2">
        <v>0.47</v>
      </c>
      <c r="F46" s="2">
        <v>49.9</v>
      </c>
      <c r="G46" s="3">
        <v>44465.38558365741</v>
      </c>
    </row>
    <row r="47">
      <c r="A47" s="2">
        <v>0.07</v>
      </c>
      <c r="B47" s="2">
        <v>224.9</v>
      </c>
      <c r="C47" s="2">
        <v>6.9</v>
      </c>
      <c r="D47" s="2">
        <v>6.46</v>
      </c>
      <c r="E47" s="2">
        <v>0.44</v>
      </c>
      <c r="F47" s="2">
        <v>49.9</v>
      </c>
      <c r="G47" s="3">
        <v>44465.38569217593</v>
      </c>
    </row>
    <row r="48">
      <c r="A48" s="2">
        <v>0.07</v>
      </c>
      <c r="B48" s="2">
        <v>225.3</v>
      </c>
      <c r="C48" s="2">
        <v>7.1</v>
      </c>
      <c r="D48" s="2">
        <v>6.46</v>
      </c>
      <c r="E48" s="2">
        <v>0.44</v>
      </c>
      <c r="F48" s="2">
        <v>49.9</v>
      </c>
      <c r="G48" s="3">
        <v>44465.38580211806</v>
      </c>
    </row>
    <row r="49">
      <c r="A49" s="2">
        <v>0.07</v>
      </c>
      <c r="B49" s="2">
        <v>224.9</v>
      </c>
      <c r="C49" s="2">
        <v>7.5</v>
      </c>
      <c r="D49" s="2">
        <v>6.46</v>
      </c>
      <c r="E49" s="2">
        <v>0.45</v>
      </c>
      <c r="F49" s="2">
        <v>49.9</v>
      </c>
      <c r="G49" s="3">
        <v>44465.38590657407</v>
      </c>
    </row>
    <row r="50">
      <c r="A50" s="2">
        <v>0.07</v>
      </c>
      <c r="B50" s="2">
        <v>225.0</v>
      </c>
      <c r="C50" s="2">
        <v>6.7</v>
      </c>
      <c r="D50" s="2">
        <v>6.46</v>
      </c>
      <c r="E50" s="2">
        <v>0.43</v>
      </c>
      <c r="F50" s="2">
        <v>49.9</v>
      </c>
      <c r="G50" s="3">
        <v>44465.38601328703</v>
      </c>
    </row>
    <row r="51">
      <c r="A51" s="2">
        <v>0.07</v>
      </c>
      <c r="B51" s="2">
        <v>225.2</v>
      </c>
      <c r="C51" s="2">
        <v>6.6</v>
      </c>
      <c r="D51" s="2">
        <v>6.46</v>
      </c>
      <c r="E51" s="2">
        <v>0.42</v>
      </c>
      <c r="F51" s="2">
        <v>49.9</v>
      </c>
      <c r="G51" s="3">
        <v>44465.38611431713</v>
      </c>
    </row>
    <row r="52">
      <c r="A52" s="2">
        <v>0.07</v>
      </c>
      <c r="B52" s="2">
        <v>225.3</v>
      </c>
      <c r="C52" s="2">
        <v>6.9</v>
      </c>
      <c r="D52" s="2">
        <v>6.46</v>
      </c>
      <c r="E52" s="2">
        <v>0.43</v>
      </c>
      <c r="F52" s="2">
        <v>50.0</v>
      </c>
      <c r="G52" s="3">
        <v>44465.38621640047</v>
      </c>
    </row>
    <row r="53">
      <c r="A53" s="2">
        <v>0.07</v>
      </c>
      <c r="B53" s="2">
        <v>225.1</v>
      </c>
      <c r="C53" s="2">
        <v>7.0</v>
      </c>
      <c r="D53" s="2">
        <v>6.46</v>
      </c>
      <c r="E53" s="2">
        <v>0.43</v>
      </c>
      <c r="F53" s="2">
        <v>50.0</v>
      </c>
      <c r="G53" s="3">
        <v>44465.38631956019</v>
      </c>
    </row>
    <row r="54">
      <c r="A54" s="2">
        <v>0.07</v>
      </c>
      <c r="B54" s="2">
        <v>225.3</v>
      </c>
      <c r="C54" s="2">
        <v>6.4</v>
      </c>
      <c r="D54" s="2">
        <v>6.46</v>
      </c>
      <c r="E54" s="2">
        <v>0.42</v>
      </c>
      <c r="F54" s="2">
        <v>50.0</v>
      </c>
      <c r="G54" s="3">
        <v>44465.38642336805</v>
      </c>
    </row>
    <row r="55">
      <c r="A55" s="2">
        <v>0.07</v>
      </c>
      <c r="B55" s="2">
        <v>225.4</v>
      </c>
      <c r="C55" s="2">
        <v>6.6</v>
      </c>
      <c r="D55" s="2">
        <v>6.46</v>
      </c>
      <c r="E55" s="2">
        <v>0.43</v>
      </c>
      <c r="F55" s="2">
        <v>50.0</v>
      </c>
      <c r="G55" s="3">
        <v>44465.38652402778</v>
      </c>
    </row>
    <row r="56">
      <c r="A56" s="2">
        <v>0.07</v>
      </c>
      <c r="B56" s="2">
        <v>225.5</v>
      </c>
      <c r="C56" s="2">
        <v>6.6</v>
      </c>
      <c r="D56" s="2">
        <v>6.46</v>
      </c>
      <c r="E56" s="2">
        <v>0.43</v>
      </c>
      <c r="F56" s="2">
        <v>50.0</v>
      </c>
      <c r="G56" s="3">
        <v>44465.386643136575</v>
      </c>
    </row>
    <row r="57">
      <c r="A57" s="2">
        <v>0.07</v>
      </c>
      <c r="B57" s="2">
        <v>225.3</v>
      </c>
      <c r="C57" s="2">
        <v>6.3</v>
      </c>
      <c r="D57" s="2">
        <v>6.46</v>
      </c>
      <c r="E57" s="2">
        <v>0.42</v>
      </c>
      <c r="F57" s="2">
        <v>50.0</v>
      </c>
      <c r="G57" s="3">
        <v>44465.38674420139</v>
      </c>
    </row>
    <row r="58">
      <c r="A58" s="2">
        <v>0.07</v>
      </c>
      <c r="B58" s="2">
        <v>223.8</v>
      </c>
      <c r="C58" s="2">
        <v>7.1</v>
      </c>
      <c r="D58" s="2">
        <v>6.46</v>
      </c>
      <c r="E58" s="2">
        <v>0.45</v>
      </c>
      <c r="F58" s="2">
        <v>50.0</v>
      </c>
      <c r="G58" s="3">
        <v>44465.387051261576</v>
      </c>
    </row>
    <row r="59">
      <c r="A59" s="2">
        <v>0.07</v>
      </c>
      <c r="B59" s="2">
        <v>223.7</v>
      </c>
      <c r="C59" s="2">
        <v>6.3</v>
      </c>
      <c r="D59" s="2">
        <v>6.46</v>
      </c>
      <c r="E59" s="2">
        <v>0.43</v>
      </c>
      <c r="F59" s="2">
        <v>50.0</v>
      </c>
      <c r="G59" s="3">
        <v>44465.38717287037</v>
      </c>
    </row>
    <row r="60">
      <c r="A60" s="2">
        <v>0.07</v>
      </c>
      <c r="B60" s="2">
        <v>225.0</v>
      </c>
      <c r="C60" s="2">
        <v>6.3</v>
      </c>
      <c r="D60" s="2">
        <v>6.46</v>
      </c>
      <c r="E60" s="2">
        <v>0.42</v>
      </c>
      <c r="F60" s="2">
        <v>50.0</v>
      </c>
      <c r="G60" s="3">
        <v>44465.387275393514</v>
      </c>
    </row>
    <row r="61">
      <c r="A61" s="2">
        <v>0.07</v>
      </c>
      <c r="B61" s="2">
        <v>225.1</v>
      </c>
      <c r="C61" s="2">
        <v>6.5</v>
      </c>
      <c r="D61" s="2">
        <v>6.46</v>
      </c>
      <c r="E61" s="2">
        <v>0.42</v>
      </c>
      <c r="F61" s="2">
        <v>49.9</v>
      </c>
      <c r="G61" s="3">
        <v>44465.38737810185</v>
      </c>
    </row>
    <row r="62">
      <c r="A62" s="2">
        <v>0.07</v>
      </c>
      <c r="B62" s="2">
        <v>224.8</v>
      </c>
      <c r="C62" s="2">
        <v>6.4</v>
      </c>
      <c r="D62" s="2">
        <v>6.46</v>
      </c>
      <c r="E62" s="2">
        <v>0.42</v>
      </c>
      <c r="F62" s="2">
        <v>49.9</v>
      </c>
      <c r="G62" s="3">
        <v>44465.38748934028</v>
      </c>
    </row>
    <row r="63">
      <c r="A63" s="2">
        <v>0.08</v>
      </c>
      <c r="B63" s="2">
        <v>224.8</v>
      </c>
      <c r="C63" s="2">
        <v>7.5</v>
      </c>
      <c r="D63" s="2">
        <v>6.46</v>
      </c>
      <c r="E63" s="2">
        <v>0.44</v>
      </c>
      <c r="F63" s="2">
        <v>49.9</v>
      </c>
      <c r="G63" s="3">
        <v>44465.38759662037</v>
      </c>
    </row>
    <row r="64">
      <c r="A64" s="2">
        <v>0.07</v>
      </c>
      <c r="B64" s="2">
        <v>225.4</v>
      </c>
      <c r="C64" s="2">
        <v>6.8</v>
      </c>
      <c r="D64" s="2">
        <v>6.46</v>
      </c>
      <c r="E64" s="2">
        <v>0.43</v>
      </c>
      <c r="F64" s="2">
        <v>50.0</v>
      </c>
      <c r="G64" s="3">
        <v>44465.38769791667</v>
      </c>
    </row>
    <row r="65">
      <c r="A65" s="2">
        <v>0.07</v>
      </c>
      <c r="B65" s="2">
        <v>223.7</v>
      </c>
      <c r="C65" s="2">
        <v>6.2</v>
      </c>
      <c r="D65" s="2">
        <v>6.46</v>
      </c>
      <c r="E65" s="2">
        <v>0.41</v>
      </c>
      <c r="F65" s="2">
        <v>50.0</v>
      </c>
      <c r="G65" s="3">
        <v>44465.3878010301</v>
      </c>
    </row>
    <row r="66">
      <c r="A66" s="2">
        <v>0.06</v>
      </c>
      <c r="B66" s="2">
        <v>223.5</v>
      </c>
      <c r="C66" s="2">
        <v>5.6</v>
      </c>
      <c r="D66" s="2">
        <v>6.46</v>
      </c>
      <c r="E66" s="2">
        <v>0.4</v>
      </c>
      <c r="F66" s="2">
        <v>49.9</v>
      </c>
      <c r="G66" s="3">
        <v>44465.38790221065</v>
      </c>
    </row>
    <row r="67">
      <c r="A67" s="2">
        <v>0.07</v>
      </c>
      <c r="B67" s="2">
        <v>223.8</v>
      </c>
      <c r="C67" s="2">
        <v>6.5</v>
      </c>
      <c r="D67" s="2">
        <v>6.46</v>
      </c>
      <c r="E67" s="2">
        <v>0.43</v>
      </c>
      <c r="F67" s="2">
        <v>50.0</v>
      </c>
      <c r="G67" s="3">
        <v>44465.38801037037</v>
      </c>
    </row>
    <row r="68">
      <c r="A68" s="2">
        <v>0.07</v>
      </c>
      <c r="B68" s="2">
        <v>223.7</v>
      </c>
      <c r="C68" s="2">
        <v>6.6</v>
      </c>
      <c r="D68" s="2">
        <v>6.46</v>
      </c>
      <c r="E68" s="2">
        <v>0.43</v>
      </c>
      <c r="F68" s="2">
        <v>50.0</v>
      </c>
      <c r="G68" s="3">
        <v>44465.38836739583</v>
      </c>
    </row>
    <row r="69">
      <c r="A69" s="2">
        <v>0.07</v>
      </c>
      <c r="B69" s="2">
        <v>223.8</v>
      </c>
      <c r="C69" s="2">
        <v>6.3</v>
      </c>
      <c r="D69" s="2">
        <v>6.46</v>
      </c>
      <c r="E69" s="2">
        <v>0.42</v>
      </c>
      <c r="F69" s="2">
        <v>50.0</v>
      </c>
      <c r="G69" s="3">
        <v>44465.3884440625</v>
      </c>
    </row>
    <row r="70">
      <c r="A70" s="2">
        <v>0.07</v>
      </c>
      <c r="B70" s="2">
        <v>223.7</v>
      </c>
      <c r="C70" s="2">
        <v>6.2</v>
      </c>
      <c r="D70" s="2">
        <v>6.46</v>
      </c>
      <c r="E70" s="2">
        <v>0.42</v>
      </c>
      <c r="F70" s="2">
        <v>50.0</v>
      </c>
      <c r="G70" s="3">
        <v>44465.38858300926</v>
      </c>
    </row>
    <row r="71">
      <c r="A71" s="2">
        <v>0.07</v>
      </c>
      <c r="B71" s="2">
        <v>223.3</v>
      </c>
      <c r="C71" s="2">
        <v>7.3</v>
      </c>
      <c r="D71" s="2">
        <v>6.46</v>
      </c>
      <c r="E71" s="2">
        <v>0.44</v>
      </c>
      <c r="F71" s="2">
        <v>50.0</v>
      </c>
      <c r="G71" s="3">
        <v>44465.388734513894</v>
      </c>
    </row>
    <row r="72">
      <c r="A72" s="2">
        <v>0.07</v>
      </c>
      <c r="B72" s="2">
        <v>223.9</v>
      </c>
      <c r="C72" s="2">
        <v>7.2</v>
      </c>
      <c r="D72" s="2">
        <v>6.46</v>
      </c>
      <c r="E72" s="2">
        <v>0.44</v>
      </c>
      <c r="F72" s="2">
        <v>50.0</v>
      </c>
      <c r="G72" s="3">
        <v>44465.388850717594</v>
      </c>
    </row>
    <row r="73">
      <c r="A73" s="2">
        <v>0.08</v>
      </c>
      <c r="B73" s="2">
        <v>223.6</v>
      </c>
      <c r="C73" s="2">
        <v>8.3</v>
      </c>
      <c r="D73" s="2">
        <v>6.46</v>
      </c>
      <c r="E73" s="2">
        <v>0.46</v>
      </c>
      <c r="F73" s="2">
        <v>50.0</v>
      </c>
      <c r="G73" s="3">
        <v>44465.3889619213</v>
      </c>
    </row>
    <row r="74">
      <c r="A74" s="2">
        <v>0.08</v>
      </c>
      <c r="B74" s="2">
        <v>223.3</v>
      </c>
      <c r="C74" s="2">
        <v>8.3</v>
      </c>
      <c r="D74" s="2">
        <v>6.46</v>
      </c>
      <c r="E74" s="2">
        <v>0.46</v>
      </c>
      <c r="F74" s="2">
        <v>50.0</v>
      </c>
      <c r="G74" s="3">
        <v>44465.38907012732</v>
      </c>
    </row>
    <row r="75">
      <c r="A75" s="2">
        <v>0.08</v>
      </c>
      <c r="B75" s="2">
        <v>223.8</v>
      </c>
      <c r="C75" s="2">
        <v>7.9</v>
      </c>
      <c r="D75" s="2">
        <v>6.46</v>
      </c>
      <c r="E75" s="2">
        <v>0.45</v>
      </c>
      <c r="F75" s="2">
        <v>50.0</v>
      </c>
      <c r="G75" s="3">
        <v>44465.38918324074</v>
      </c>
    </row>
    <row r="76">
      <c r="A76" s="2">
        <v>0.08</v>
      </c>
      <c r="B76" s="2">
        <v>223.5</v>
      </c>
      <c r="C76" s="2">
        <v>7.5</v>
      </c>
      <c r="D76" s="2">
        <v>6.46</v>
      </c>
      <c r="E76" s="2">
        <v>0.44</v>
      </c>
      <c r="F76" s="2">
        <v>50.0</v>
      </c>
      <c r="G76" s="3">
        <v>44465.38929934028</v>
      </c>
    </row>
    <row r="77">
      <c r="A77" s="2">
        <v>0.07</v>
      </c>
      <c r="B77" s="2">
        <v>223.5</v>
      </c>
      <c r="C77" s="2">
        <v>7.4</v>
      </c>
      <c r="D77" s="2">
        <v>6.46</v>
      </c>
      <c r="E77" s="2">
        <v>0.45</v>
      </c>
      <c r="F77" s="2">
        <v>50.0</v>
      </c>
      <c r="G77" s="3">
        <v>44465.389410393516</v>
      </c>
    </row>
    <row r="78">
      <c r="A78" s="2">
        <v>0.07</v>
      </c>
      <c r="B78" s="2">
        <v>224.6</v>
      </c>
      <c r="C78" s="2">
        <v>7.0</v>
      </c>
      <c r="D78" s="2">
        <v>6.46</v>
      </c>
      <c r="E78" s="2">
        <v>0.44</v>
      </c>
      <c r="F78" s="2">
        <v>50.0</v>
      </c>
      <c r="G78" s="3">
        <v>44465.38951337963</v>
      </c>
    </row>
    <row r="79">
      <c r="A79" s="2">
        <v>0.07</v>
      </c>
      <c r="B79" s="2">
        <v>224.9</v>
      </c>
      <c r="C79" s="2">
        <v>7.3</v>
      </c>
      <c r="D79" s="2">
        <v>6.46</v>
      </c>
      <c r="E79" s="2">
        <v>0.44</v>
      </c>
      <c r="F79" s="2">
        <v>50.0</v>
      </c>
      <c r="G79" s="3">
        <v>44465.3896175</v>
      </c>
    </row>
    <row r="80">
      <c r="A80" s="2">
        <v>0.06</v>
      </c>
      <c r="B80" s="2">
        <v>224.9</v>
      </c>
      <c r="C80" s="2">
        <v>6.2</v>
      </c>
      <c r="D80" s="2">
        <v>6.46</v>
      </c>
      <c r="E80" s="2">
        <v>0.42</v>
      </c>
      <c r="F80" s="2">
        <v>50.0</v>
      </c>
      <c r="G80" s="3">
        <v>44465.38972605324</v>
      </c>
    </row>
    <row r="81">
      <c r="A81" s="2">
        <v>0.07</v>
      </c>
      <c r="B81" s="2">
        <v>224.9</v>
      </c>
      <c r="C81" s="2">
        <v>6.6</v>
      </c>
      <c r="D81" s="2">
        <v>6.46</v>
      </c>
      <c r="E81" s="2">
        <v>0.43</v>
      </c>
      <c r="F81" s="2">
        <v>50.0</v>
      </c>
      <c r="G81" s="3">
        <v>44465.38983608796</v>
      </c>
    </row>
    <row r="82">
      <c r="A82" s="2">
        <v>0.07</v>
      </c>
      <c r="B82" s="2">
        <v>224.7</v>
      </c>
      <c r="C82" s="2">
        <v>6.6</v>
      </c>
      <c r="D82" s="2">
        <v>6.46</v>
      </c>
      <c r="E82" s="2">
        <v>0.44</v>
      </c>
      <c r="F82" s="2">
        <v>50.0</v>
      </c>
      <c r="G82" s="3">
        <v>44465.389944826384</v>
      </c>
    </row>
    <row r="83">
      <c r="A83" s="2">
        <v>0.07</v>
      </c>
      <c r="B83" s="2">
        <v>224.8</v>
      </c>
      <c r="C83" s="2">
        <v>6.8</v>
      </c>
      <c r="D83" s="2">
        <v>6.46</v>
      </c>
      <c r="E83" s="2">
        <v>0.44</v>
      </c>
      <c r="F83" s="2">
        <v>50.0</v>
      </c>
      <c r="G83" s="3">
        <v>44465.39008528936</v>
      </c>
    </row>
    <row r="84">
      <c r="A84" s="2">
        <v>0.07</v>
      </c>
      <c r="B84" s="2">
        <v>227.5</v>
      </c>
      <c r="C84" s="2">
        <v>6.4</v>
      </c>
      <c r="D84" s="2">
        <v>6.46</v>
      </c>
      <c r="E84" s="2">
        <v>0.43</v>
      </c>
      <c r="F84" s="2">
        <v>50.0</v>
      </c>
      <c r="G84" s="3">
        <v>44465.39022984954</v>
      </c>
    </row>
    <row r="85">
      <c r="A85" s="2">
        <v>0.07</v>
      </c>
      <c r="B85" s="2">
        <v>226.8</v>
      </c>
      <c r="C85" s="2">
        <v>7.3</v>
      </c>
      <c r="D85" s="2">
        <v>6.46</v>
      </c>
      <c r="E85" s="2">
        <v>0.45</v>
      </c>
      <c r="F85" s="2">
        <v>50.0</v>
      </c>
      <c r="G85" s="3">
        <v>44465.39034413194</v>
      </c>
    </row>
    <row r="86">
      <c r="A86" s="2">
        <v>0.07</v>
      </c>
      <c r="B86" s="2">
        <v>226.9</v>
      </c>
      <c r="C86" s="2">
        <v>6.9</v>
      </c>
      <c r="D86" s="2">
        <v>6.46</v>
      </c>
      <c r="E86" s="2">
        <v>0.44</v>
      </c>
      <c r="F86" s="2">
        <v>50.0</v>
      </c>
      <c r="G86" s="3">
        <v>44465.390512488426</v>
      </c>
    </row>
    <row r="87">
      <c r="A87" s="2">
        <v>0.06</v>
      </c>
      <c r="B87" s="2">
        <v>228.0</v>
      </c>
      <c r="C87" s="2">
        <v>5.8</v>
      </c>
      <c r="D87" s="2">
        <v>6.46</v>
      </c>
      <c r="E87" s="2">
        <v>0.4</v>
      </c>
      <c r="F87" s="2">
        <v>50.0</v>
      </c>
      <c r="G87" s="3">
        <v>44465.390625810185</v>
      </c>
    </row>
    <row r="88">
      <c r="A88" s="2">
        <v>0.07</v>
      </c>
      <c r="B88" s="2">
        <v>227.2</v>
      </c>
      <c r="C88" s="2">
        <v>6.9</v>
      </c>
      <c r="D88" s="2">
        <v>6.46</v>
      </c>
      <c r="E88" s="2">
        <v>0.43</v>
      </c>
      <c r="F88" s="2">
        <v>50.0</v>
      </c>
      <c r="G88" s="3">
        <v>44465.39073346065</v>
      </c>
    </row>
    <row r="89">
      <c r="A89" s="2">
        <v>0.07</v>
      </c>
      <c r="B89" s="2">
        <v>228.1</v>
      </c>
      <c r="C89" s="2">
        <v>7.5</v>
      </c>
      <c r="D89" s="2">
        <v>6.46</v>
      </c>
      <c r="E89" s="2">
        <v>0.45</v>
      </c>
      <c r="F89" s="2">
        <v>50.0</v>
      </c>
      <c r="G89" s="3">
        <v>44465.390842002314</v>
      </c>
    </row>
    <row r="90">
      <c r="A90" s="2">
        <v>0.07</v>
      </c>
      <c r="B90" s="2">
        <v>227.1</v>
      </c>
      <c r="C90" s="2">
        <v>6.9</v>
      </c>
      <c r="D90" s="2">
        <v>6.46</v>
      </c>
      <c r="E90" s="2">
        <v>0.44</v>
      </c>
      <c r="F90" s="2">
        <v>50.0</v>
      </c>
      <c r="G90" s="3">
        <v>44465.390951712965</v>
      </c>
    </row>
    <row r="91">
      <c r="A91" s="2">
        <v>0.07</v>
      </c>
      <c r="B91" s="2">
        <v>227.3</v>
      </c>
      <c r="C91" s="2">
        <v>7.0</v>
      </c>
      <c r="D91" s="2">
        <v>6.46</v>
      </c>
      <c r="E91" s="2">
        <v>0.44</v>
      </c>
      <c r="F91" s="2">
        <v>49.9</v>
      </c>
      <c r="G91" s="3">
        <v>44465.39105572917</v>
      </c>
    </row>
    <row r="92">
      <c r="A92" s="2">
        <v>0.07</v>
      </c>
      <c r="B92" s="2">
        <v>227.3</v>
      </c>
      <c r="C92" s="2">
        <v>7.5</v>
      </c>
      <c r="D92" s="2">
        <v>6.46</v>
      </c>
      <c r="E92" s="2">
        <v>0.45</v>
      </c>
      <c r="F92" s="2">
        <v>50.0</v>
      </c>
      <c r="G92" s="3">
        <v>44465.39115895833</v>
      </c>
    </row>
    <row r="93">
      <c r="A93" s="2">
        <v>0.07</v>
      </c>
      <c r="B93" s="2">
        <v>227.4</v>
      </c>
      <c r="C93" s="2">
        <v>6.5</v>
      </c>
      <c r="D93" s="2">
        <v>6.46</v>
      </c>
      <c r="E93" s="2">
        <v>0.43</v>
      </c>
      <c r="F93" s="2">
        <v>50.0</v>
      </c>
      <c r="G93" s="3">
        <v>44465.39126315972</v>
      </c>
    </row>
    <row r="94">
      <c r="A94" s="2">
        <v>0.07</v>
      </c>
      <c r="B94" s="2">
        <v>227.4</v>
      </c>
      <c r="C94" s="2">
        <v>6.8</v>
      </c>
      <c r="D94" s="2">
        <v>6.46</v>
      </c>
      <c r="E94" s="2">
        <v>0.43</v>
      </c>
      <c r="F94" s="2">
        <v>50.0</v>
      </c>
      <c r="G94" s="3">
        <v>44465.39136894676</v>
      </c>
    </row>
    <row r="95">
      <c r="A95" s="2">
        <v>0.07</v>
      </c>
      <c r="B95" s="2">
        <v>227.5</v>
      </c>
      <c r="C95" s="2">
        <v>7.1</v>
      </c>
      <c r="D95" s="2">
        <v>6.46</v>
      </c>
      <c r="E95" s="2">
        <v>0.44</v>
      </c>
      <c r="F95" s="2">
        <v>50.0</v>
      </c>
      <c r="G95" s="3">
        <v>44465.39147195602</v>
      </c>
    </row>
    <row r="96">
      <c r="A96" s="2">
        <v>0.07</v>
      </c>
      <c r="B96" s="2">
        <v>227.4</v>
      </c>
      <c r="C96" s="2">
        <v>6.8</v>
      </c>
      <c r="D96" s="2">
        <v>6.46</v>
      </c>
      <c r="E96" s="2">
        <v>0.43</v>
      </c>
      <c r="F96" s="2">
        <v>50.0</v>
      </c>
      <c r="G96" s="3">
        <v>44465.39157761574</v>
      </c>
    </row>
    <row r="97">
      <c r="A97" s="2">
        <v>0.07</v>
      </c>
      <c r="B97" s="2">
        <v>227.7</v>
      </c>
      <c r="C97" s="2">
        <v>6.7</v>
      </c>
      <c r="D97" s="2">
        <v>6.46</v>
      </c>
      <c r="E97" s="2">
        <v>0.43</v>
      </c>
      <c r="F97" s="2">
        <v>50.0</v>
      </c>
      <c r="G97" s="3">
        <v>44465.39171347222</v>
      </c>
    </row>
    <row r="98">
      <c r="A98" s="2">
        <v>0.07</v>
      </c>
      <c r="B98" s="2">
        <v>227.2</v>
      </c>
      <c r="C98" s="2">
        <v>7.0</v>
      </c>
      <c r="D98" s="2">
        <v>6.46</v>
      </c>
      <c r="E98" s="2">
        <v>0.43</v>
      </c>
      <c r="F98" s="2">
        <v>50.0</v>
      </c>
      <c r="G98" s="3">
        <v>44465.39181313658</v>
      </c>
    </row>
    <row r="99">
      <c r="A99" s="2">
        <v>0.07</v>
      </c>
      <c r="B99" s="2">
        <v>227.3</v>
      </c>
      <c r="C99" s="2">
        <v>6.7</v>
      </c>
      <c r="D99" s="2">
        <v>6.46</v>
      </c>
      <c r="E99" s="2">
        <v>0.42</v>
      </c>
      <c r="F99" s="2">
        <v>50.0</v>
      </c>
      <c r="G99" s="3">
        <v>44465.3919166088</v>
      </c>
    </row>
    <row r="100">
      <c r="A100" s="2">
        <v>0.07</v>
      </c>
      <c r="B100" s="2">
        <v>227.2</v>
      </c>
      <c r="C100" s="2">
        <v>6.9</v>
      </c>
      <c r="D100" s="2">
        <v>6.46</v>
      </c>
      <c r="E100" s="2">
        <v>0.43</v>
      </c>
      <c r="F100" s="2">
        <v>50.0</v>
      </c>
      <c r="G100" s="3">
        <v>44465.392020740735</v>
      </c>
    </row>
    <row r="101">
      <c r="A101" s="2">
        <v>0.07</v>
      </c>
      <c r="B101" s="2">
        <v>227.6</v>
      </c>
      <c r="C101" s="2">
        <v>6.7</v>
      </c>
      <c r="D101" s="2">
        <v>6.46</v>
      </c>
      <c r="E101" s="2">
        <v>0.43</v>
      </c>
      <c r="F101" s="2">
        <v>50.0</v>
      </c>
      <c r="G101" s="3">
        <v>44465.392128148145</v>
      </c>
    </row>
    <row r="102">
      <c r="A102" s="2">
        <v>0.07</v>
      </c>
      <c r="B102" s="2">
        <v>227.6</v>
      </c>
      <c r="C102" s="2">
        <v>6.7</v>
      </c>
      <c r="D102" s="2">
        <v>6.46</v>
      </c>
      <c r="E102" s="2">
        <v>0.43</v>
      </c>
      <c r="F102" s="2">
        <v>50.0</v>
      </c>
      <c r="G102" s="3">
        <v>44465.39223881945</v>
      </c>
    </row>
    <row r="103">
      <c r="A103" s="2">
        <v>0.07</v>
      </c>
      <c r="B103" s="2">
        <v>227.8</v>
      </c>
      <c r="C103" s="2">
        <v>6.6</v>
      </c>
      <c r="D103" s="2">
        <v>6.46</v>
      </c>
      <c r="E103" s="2">
        <v>0.43</v>
      </c>
      <c r="F103" s="2">
        <v>50.0</v>
      </c>
      <c r="G103" s="3">
        <v>44465.39235068287</v>
      </c>
    </row>
    <row r="104">
      <c r="A104" s="2">
        <v>0.07</v>
      </c>
      <c r="B104" s="2">
        <v>227.5</v>
      </c>
      <c r="C104" s="2">
        <v>6.9</v>
      </c>
      <c r="D104" s="2">
        <v>6.46</v>
      </c>
      <c r="E104" s="2">
        <v>0.43</v>
      </c>
      <c r="F104" s="2">
        <v>50.0</v>
      </c>
      <c r="G104" s="3">
        <v>44465.39245972222</v>
      </c>
    </row>
    <row r="105">
      <c r="A105" s="2">
        <v>0.07</v>
      </c>
      <c r="B105" s="2">
        <v>227.6</v>
      </c>
      <c r="C105" s="2">
        <v>6.7</v>
      </c>
      <c r="D105" s="2">
        <v>6.46</v>
      </c>
      <c r="E105" s="2">
        <v>0.43</v>
      </c>
      <c r="F105" s="2">
        <v>50.0</v>
      </c>
      <c r="G105" s="3">
        <v>44465.39256449074</v>
      </c>
    </row>
    <row r="106">
      <c r="A106" s="2">
        <v>0.07</v>
      </c>
      <c r="B106" s="2">
        <v>225.8</v>
      </c>
      <c r="C106" s="2">
        <v>6.5</v>
      </c>
      <c r="D106" s="2">
        <v>6.46</v>
      </c>
      <c r="E106" s="2">
        <v>0.42</v>
      </c>
      <c r="F106" s="2">
        <v>50.0</v>
      </c>
      <c r="G106" s="3">
        <v>44465.39267189815</v>
      </c>
    </row>
    <row r="107">
      <c r="A107" s="2">
        <v>0.07</v>
      </c>
      <c r="B107" s="2">
        <v>225.8</v>
      </c>
      <c r="C107" s="2">
        <v>6.8</v>
      </c>
      <c r="D107" s="2">
        <v>6.46</v>
      </c>
      <c r="E107" s="2">
        <v>0.42</v>
      </c>
      <c r="F107" s="2">
        <v>50.0</v>
      </c>
      <c r="G107" s="3">
        <v>44465.39281092593</v>
      </c>
    </row>
    <row r="108">
      <c r="A108" s="2">
        <v>0.07</v>
      </c>
      <c r="B108" s="2">
        <v>225.8</v>
      </c>
      <c r="C108" s="2">
        <v>6.5</v>
      </c>
      <c r="D108" s="2">
        <v>6.46</v>
      </c>
      <c r="E108" s="2">
        <v>0.42</v>
      </c>
      <c r="F108" s="2">
        <v>50.0</v>
      </c>
      <c r="G108" s="3">
        <v>44465.39291498842</v>
      </c>
    </row>
    <row r="109">
      <c r="A109" s="2">
        <v>0.07</v>
      </c>
      <c r="B109" s="2">
        <v>226.0</v>
      </c>
      <c r="C109" s="2">
        <v>6.4</v>
      </c>
      <c r="D109" s="2">
        <v>6.46</v>
      </c>
      <c r="E109" s="2">
        <v>0.42</v>
      </c>
      <c r="F109" s="2">
        <v>50.0</v>
      </c>
      <c r="G109" s="3">
        <v>44465.39301745371</v>
      </c>
    </row>
    <row r="110">
      <c r="A110" s="2">
        <v>0.07</v>
      </c>
      <c r="B110" s="2">
        <v>225.8</v>
      </c>
      <c r="C110" s="2">
        <v>6.6</v>
      </c>
      <c r="D110" s="2">
        <v>6.46</v>
      </c>
      <c r="E110" s="2">
        <v>0.42</v>
      </c>
      <c r="F110" s="2">
        <v>50.0</v>
      </c>
      <c r="G110" s="3">
        <v>44465.393474004624</v>
      </c>
    </row>
    <row r="111">
      <c r="A111" s="2">
        <v>0.07</v>
      </c>
      <c r="B111" s="2">
        <v>225.5</v>
      </c>
      <c r="C111" s="2">
        <v>6.5</v>
      </c>
      <c r="D111" s="2">
        <v>6.46</v>
      </c>
      <c r="E111" s="2">
        <v>0.42</v>
      </c>
      <c r="F111" s="2">
        <v>50.0</v>
      </c>
      <c r="G111" s="3">
        <v>44465.39358488426</v>
      </c>
    </row>
    <row r="112">
      <c r="A112" s="2">
        <v>0.07</v>
      </c>
      <c r="B112" s="2">
        <v>224.9</v>
      </c>
      <c r="C112" s="2">
        <v>6.6</v>
      </c>
      <c r="D112" s="2">
        <v>6.46</v>
      </c>
      <c r="E112" s="2">
        <v>0.43</v>
      </c>
      <c r="F112" s="2">
        <v>50.0</v>
      </c>
      <c r="G112" s="3">
        <v>44465.3936953125</v>
      </c>
    </row>
    <row r="113">
      <c r="A113" s="2">
        <v>0.07</v>
      </c>
      <c r="B113" s="2">
        <v>224.9</v>
      </c>
      <c r="C113" s="2">
        <v>7.6</v>
      </c>
      <c r="D113" s="2">
        <v>6.46</v>
      </c>
      <c r="E113" s="2">
        <v>0.46</v>
      </c>
      <c r="F113" s="2">
        <v>50.0</v>
      </c>
      <c r="G113" s="3">
        <v>44465.39380525463</v>
      </c>
    </row>
    <row r="114">
      <c r="A114" s="2">
        <v>0.08</v>
      </c>
      <c r="B114" s="2">
        <v>225.0</v>
      </c>
      <c r="C114" s="2">
        <v>7.9</v>
      </c>
      <c r="D114" s="2">
        <v>6.46</v>
      </c>
      <c r="E114" s="2">
        <v>0.46</v>
      </c>
      <c r="F114" s="2">
        <v>50.0</v>
      </c>
      <c r="G114" s="3">
        <v>44465.3939090162</v>
      </c>
    </row>
    <row r="115">
      <c r="A115" s="2">
        <v>0.08</v>
      </c>
      <c r="B115" s="2">
        <v>225.0</v>
      </c>
      <c r="C115" s="2">
        <v>7.6</v>
      </c>
      <c r="D115" s="2">
        <v>6.46</v>
      </c>
      <c r="E115" s="2">
        <v>0.45</v>
      </c>
      <c r="F115" s="2">
        <v>50.0</v>
      </c>
      <c r="G115" s="3">
        <v>44465.39401369213</v>
      </c>
    </row>
    <row r="116">
      <c r="A116" s="2">
        <v>0.07</v>
      </c>
      <c r="B116" s="2">
        <v>225.1</v>
      </c>
      <c r="C116" s="2">
        <v>7.4</v>
      </c>
      <c r="D116" s="2">
        <v>6.46</v>
      </c>
      <c r="E116" s="2">
        <v>0.44</v>
      </c>
      <c r="F116" s="2">
        <v>50.0</v>
      </c>
      <c r="G116" s="3">
        <v>44465.39412211806</v>
      </c>
    </row>
    <row r="117">
      <c r="A117" s="2">
        <v>0.07</v>
      </c>
      <c r="B117" s="2">
        <v>225.3</v>
      </c>
      <c r="C117" s="2">
        <v>7.2</v>
      </c>
      <c r="D117" s="2">
        <v>6.46</v>
      </c>
      <c r="E117" s="2">
        <v>0.44</v>
      </c>
      <c r="F117" s="2">
        <v>50.0</v>
      </c>
      <c r="G117" s="3">
        <v>44465.3942337037</v>
      </c>
    </row>
    <row r="118">
      <c r="A118" s="2">
        <v>0.07</v>
      </c>
      <c r="B118" s="2">
        <v>225.0</v>
      </c>
      <c r="C118" s="2">
        <v>7.4</v>
      </c>
      <c r="D118" s="2">
        <v>6.46</v>
      </c>
      <c r="E118" s="2">
        <v>0.46</v>
      </c>
      <c r="F118" s="2">
        <v>50.0</v>
      </c>
      <c r="G118" s="3">
        <v>44465.39433365741</v>
      </c>
    </row>
    <row r="119">
      <c r="A119" s="2">
        <v>0.08</v>
      </c>
      <c r="B119" s="2">
        <v>225.8</v>
      </c>
      <c r="C119" s="2">
        <v>7.6</v>
      </c>
      <c r="D119" s="2">
        <v>6.46</v>
      </c>
      <c r="E119" s="2">
        <v>0.45</v>
      </c>
      <c r="F119" s="2">
        <v>50.0</v>
      </c>
      <c r="G119" s="3">
        <v>44465.3944383912</v>
      </c>
    </row>
    <row r="120">
      <c r="A120" s="2">
        <v>0.07</v>
      </c>
      <c r="B120" s="2">
        <v>225.3</v>
      </c>
      <c r="C120" s="2">
        <v>7.4</v>
      </c>
      <c r="D120" s="2">
        <v>6.46</v>
      </c>
      <c r="E120" s="2">
        <v>0.45</v>
      </c>
      <c r="F120" s="2">
        <v>50.0</v>
      </c>
      <c r="G120" s="3">
        <v>44465.39455074074</v>
      </c>
    </row>
    <row r="121">
      <c r="A121" s="2">
        <v>0.07</v>
      </c>
      <c r="B121" s="2">
        <v>225.6</v>
      </c>
      <c r="C121" s="2">
        <v>7.4</v>
      </c>
      <c r="D121" s="2">
        <v>6.46</v>
      </c>
      <c r="E121" s="2">
        <v>0.44</v>
      </c>
      <c r="F121" s="2">
        <v>50.0</v>
      </c>
      <c r="G121" s="3">
        <v>44465.394661087965</v>
      </c>
    </row>
    <row r="122">
      <c r="A122" s="2">
        <v>0.07</v>
      </c>
      <c r="B122" s="2">
        <v>225.7</v>
      </c>
      <c r="C122" s="2">
        <v>7.2</v>
      </c>
      <c r="D122" s="2">
        <v>6.46</v>
      </c>
      <c r="E122" s="2">
        <v>0.44</v>
      </c>
      <c r="F122" s="2">
        <v>50.0</v>
      </c>
      <c r="G122" s="3">
        <v>44465.394768831015</v>
      </c>
    </row>
    <row r="123">
      <c r="A123" s="2">
        <v>0.07</v>
      </c>
      <c r="B123" s="2">
        <v>225.3</v>
      </c>
      <c r="C123" s="2">
        <v>7.2</v>
      </c>
      <c r="D123" s="2">
        <v>6.46</v>
      </c>
      <c r="E123" s="2">
        <v>0.45</v>
      </c>
      <c r="F123" s="2">
        <v>50.0</v>
      </c>
      <c r="G123" s="3">
        <v>44465.39487287037</v>
      </c>
    </row>
    <row r="124">
      <c r="A124" s="2">
        <v>0.07</v>
      </c>
      <c r="B124" s="2">
        <v>225.5</v>
      </c>
      <c r="C124" s="2">
        <v>7.1</v>
      </c>
      <c r="D124" s="2">
        <v>6.46</v>
      </c>
      <c r="E124" s="2">
        <v>0.44</v>
      </c>
      <c r="F124" s="2">
        <v>50.0</v>
      </c>
      <c r="G124" s="3">
        <v>44465.39497789352</v>
      </c>
    </row>
    <row r="125">
      <c r="A125" s="2">
        <v>0.07</v>
      </c>
      <c r="B125" s="2">
        <v>225.4</v>
      </c>
      <c r="C125" s="2">
        <v>7.2</v>
      </c>
      <c r="D125" s="2">
        <v>6.46</v>
      </c>
      <c r="E125" s="2">
        <v>0.44</v>
      </c>
      <c r="F125" s="2">
        <v>50.0</v>
      </c>
      <c r="G125" s="3">
        <v>44465.395082222225</v>
      </c>
    </row>
    <row r="126">
      <c r="A126" s="2">
        <v>0.07</v>
      </c>
      <c r="B126" s="2">
        <v>225.5</v>
      </c>
      <c r="C126" s="2">
        <v>6.5</v>
      </c>
      <c r="D126" s="2">
        <v>6.46</v>
      </c>
      <c r="E126" s="2">
        <v>0.42</v>
      </c>
      <c r="F126" s="2">
        <v>50.0</v>
      </c>
      <c r="G126" s="3">
        <v>44465.39518775463</v>
      </c>
    </row>
    <row r="127">
      <c r="A127" s="2">
        <v>0.06</v>
      </c>
      <c r="B127" s="2">
        <v>225.1</v>
      </c>
      <c r="C127" s="2">
        <v>6.1</v>
      </c>
      <c r="D127" s="2">
        <v>6.46</v>
      </c>
      <c r="E127" s="2">
        <v>0.42</v>
      </c>
      <c r="F127" s="2">
        <v>50.0</v>
      </c>
      <c r="G127" s="3">
        <v>44465.39529605324</v>
      </c>
    </row>
    <row r="128">
      <c r="A128" s="2">
        <v>0.07</v>
      </c>
      <c r="B128" s="2">
        <v>226.9</v>
      </c>
      <c r="C128" s="2">
        <v>6.6</v>
      </c>
      <c r="D128" s="2">
        <v>6.46</v>
      </c>
      <c r="E128" s="2">
        <v>0.43</v>
      </c>
      <c r="F128" s="2">
        <v>50.0</v>
      </c>
      <c r="G128" s="3">
        <v>44465.39540641203</v>
      </c>
    </row>
    <row r="129">
      <c r="A129" s="2">
        <v>0.07</v>
      </c>
      <c r="B129" s="2">
        <v>227.0</v>
      </c>
      <c r="C129" s="2">
        <v>6.5</v>
      </c>
      <c r="D129" s="2">
        <v>6.46</v>
      </c>
      <c r="E129" s="2">
        <v>0.43</v>
      </c>
      <c r="F129" s="2">
        <v>50.0</v>
      </c>
      <c r="G129" s="3">
        <v>44465.395508657406</v>
      </c>
    </row>
    <row r="130">
      <c r="A130" s="2">
        <v>0.06</v>
      </c>
      <c r="B130" s="2">
        <v>227.3</v>
      </c>
      <c r="C130" s="2">
        <v>6.0</v>
      </c>
      <c r="D130" s="2">
        <v>6.46</v>
      </c>
      <c r="E130" s="2">
        <v>0.41</v>
      </c>
      <c r="F130" s="2">
        <v>50.0</v>
      </c>
      <c r="G130" s="3">
        <v>44465.39588056713</v>
      </c>
    </row>
    <row r="131">
      <c r="A131" s="2">
        <v>0.06</v>
      </c>
      <c r="B131" s="2">
        <v>226.9</v>
      </c>
      <c r="C131" s="2">
        <v>6.0</v>
      </c>
      <c r="D131" s="2">
        <v>6.46</v>
      </c>
      <c r="E131" s="2">
        <v>0.41</v>
      </c>
      <c r="F131" s="2">
        <v>50.0</v>
      </c>
      <c r="G131" s="3">
        <v>44465.39598726852</v>
      </c>
    </row>
    <row r="132">
      <c r="A132" s="2">
        <v>0.06</v>
      </c>
      <c r="B132" s="2">
        <v>224.6</v>
      </c>
      <c r="C132" s="2">
        <v>5.5</v>
      </c>
      <c r="D132" s="2">
        <v>6.46</v>
      </c>
      <c r="E132" s="2">
        <v>0.39</v>
      </c>
      <c r="F132" s="2">
        <v>50.0</v>
      </c>
      <c r="G132" s="3">
        <v>44465.396379375</v>
      </c>
    </row>
    <row r="133">
      <c r="A133" s="2">
        <v>0.06</v>
      </c>
      <c r="B133" s="2">
        <v>225.0</v>
      </c>
      <c r="C133" s="2">
        <v>6.0</v>
      </c>
      <c r="D133" s="2">
        <v>6.46</v>
      </c>
      <c r="E133" s="2">
        <v>0.41</v>
      </c>
      <c r="F133" s="2">
        <v>50.0</v>
      </c>
      <c r="G133" s="3">
        <v>44465.39643865741</v>
      </c>
    </row>
    <row r="134">
      <c r="A134" s="2">
        <v>0.06</v>
      </c>
      <c r="B134" s="2">
        <v>225.0</v>
      </c>
      <c r="C134" s="2">
        <v>6.0</v>
      </c>
      <c r="D134" s="2">
        <v>6.46</v>
      </c>
      <c r="E134" s="2">
        <v>0.41</v>
      </c>
      <c r="F134" s="2">
        <v>50.0</v>
      </c>
      <c r="G134" s="3">
        <v>44465.39654539352</v>
      </c>
    </row>
    <row r="135">
      <c r="A135" s="2">
        <v>0.07</v>
      </c>
      <c r="B135" s="2">
        <v>224.7</v>
      </c>
      <c r="C135" s="2">
        <v>6.2</v>
      </c>
      <c r="D135" s="2">
        <v>6.46</v>
      </c>
      <c r="E135" s="2">
        <v>0.42</v>
      </c>
      <c r="F135" s="2">
        <v>50.0</v>
      </c>
      <c r="G135" s="3">
        <v>44465.39665688657</v>
      </c>
    </row>
    <row r="136">
      <c r="A136" s="2">
        <v>0.06</v>
      </c>
      <c r="B136" s="2">
        <v>224.9</v>
      </c>
      <c r="C136" s="2">
        <v>6.0</v>
      </c>
      <c r="D136" s="2">
        <v>6.46</v>
      </c>
      <c r="E136" s="2">
        <v>0.41</v>
      </c>
      <c r="F136" s="2">
        <v>49.9</v>
      </c>
      <c r="G136" s="3">
        <v>44465.39676297454</v>
      </c>
    </row>
    <row r="137">
      <c r="A137" s="2">
        <v>0.06</v>
      </c>
      <c r="B137" s="2">
        <v>224.6</v>
      </c>
      <c r="C137" s="2">
        <v>6.1</v>
      </c>
      <c r="D137" s="2">
        <v>6.46</v>
      </c>
      <c r="E137" s="2">
        <v>0.42</v>
      </c>
      <c r="F137" s="2">
        <v>50.0</v>
      </c>
      <c r="G137" s="3">
        <v>44465.39687575231</v>
      </c>
    </row>
    <row r="138">
      <c r="A138" s="2">
        <v>0.06</v>
      </c>
      <c r="B138" s="2">
        <v>224.5</v>
      </c>
      <c r="C138" s="2">
        <v>5.3</v>
      </c>
      <c r="D138" s="2">
        <v>6.46</v>
      </c>
      <c r="E138" s="2">
        <v>0.39</v>
      </c>
      <c r="F138" s="2">
        <v>50.0</v>
      </c>
      <c r="G138" s="3">
        <v>44465.39698961806</v>
      </c>
    </row>
    <row r="139">
      <c r="A139" s="2">
        <v>0.06</v>
      </c>
      <c r="B139" s="2">
        <v>225.0</v>
      </c>
      <c r="C139" s="2">
        <v>6.0</v>
      </c>
      <c r="D139" s="2">
        <v>6.46</v>
      </c>
      <c r="E139" s="2">
        <v>0.41</v>
      </c>
      <c r="F139" s="2">
        <v>50.0</v>
      </c>
      <c r="G139" s="3">
        <v>44465.39710443287</v>
      </c>
    </row>
    <row r="140">
      <c r="A140" s="2">
        <v>0.06</v>
      </c>
      <c r="B140" s="2">
        <v>224.8</v>
      </c>
      <c r="C140" s="2">
        <v>5.9</v>
      </c>
      <c r="D140" s="2">
        <v>6.46</v>
      </c>
      <c r="E140" s="2">
        <v>0.41</v>
      </c>
      <c r="F140" s="2">
        <v>50.0</v>
      </c>
      <c r="G140" s="3">
        <v>44465.39721152778</v>
      </c>
    </row>
    <row r="141">
      <c r="A141" s="2">
        <v>0.07</v>
      </c>
      <c r="B141" s="2">
        <v>224.3</v>
      </c>
      <c r="C141" s="2">
        <v>6.5</v>
      </c>
      <c r="D141" s="2">
        <v>6.46</v>
      </c>
      <c r="E141" s="2">
        <v>0.43</v>
      </c>
      <c r="F141" s="2">
        <v>50.0</v>
      </c>
      <c r="G141" s="3">
        <v>44465.397319525466</v>
      </c>
    </row>
    <row r="142">
      <c r="A142" s="2">
        <v>0.07</v>
      </c>
      <c r="B142" s="2">
        <v>224.3</v>
      </c>
      <c r="C142" s="2">
        <v>6.2</v>
      </c>
      <c r="D142" s="2">
        <v>6.46</v>
      </c>
      <c r="E142" s="2">
        <v>0.42</v>
      </c>
      <c r="F142" s="2">
        <v>50.0</v>
      </c>
      <c r="G142" s="3">
        <v>44465.397427777774</v>
      </c>
    </row>
    <row r="143">
      <c r="A143" s="2">
        <v>0.07</v>
      </c>
      <c r="B143" s="2">
        <v>224.1</v>
      </c>
      <c r="C143" s="2">
        <v>6.4</v>
      </c>
      <c r="D143" s="2">
        <v>6.46</v>
      </c>
      <c r="E143" s="2">
        <v>0.43</v>
      </c>
      <c r="F143" s="2">
        <v>49.9</v>
      </c>
      <c r="G143" s="3">
        <v>44465.397532222225</v>
      </c>
    </row>
    <row r="144">
      <c r="A144" s="2">
        <v>0.07</v>
      </c>
      <c r="B144" s="2">
        <v>224.1</v>
      </c>
      <c r="C144" s="2">
        <v>6.4</v>
      </c>
      <c r="D144" s="2">
        <v>6.46</v>
      </c>
      <c r="E144" s="2">
        <v>0.42</v>
      </c>
      <c r="F144" s="2">
        <v>49.9</v>
      </c>
      <c r="G144" s="3">
        <v>44465.397638159724</v>
      </c>
    </row>
    <row r="145">
      <c r="A145" s="2">
        <v>0.06</v>
      </c>
      <c r="B145" s="2">
        <v>223.8</v>
      </c>
      <c r="C145" s="2">
        <v>5.9</v>
      </c>
      <c r="D145" s="2">
        <v>6.46</v>
      </c>
      <c r="E145" s="2">
        <v>0.41</v>
      </c>
      <c r="F145" s="2">
        <v>50.0</v>
      </c>
      <c r="G145" s="3">
        <v>44465.397747372685</v>
      </c>
    </row>
    <row r="146">
      <c r="A146" s="2">
        <v>0.07</v>
      </c>
      <c r="B146" s="2">
        <v>224.0</v>
      </c>
      <c r="C146" s="2">
        <v>6.5</v>
      </c>
      <c r="D146" s="2">
        <v>6.46</v>
      </c>
      <c r="E146" s="2">
        <v>0.43</v>
      </c>
      <c r="F146" s="2">
        <v>49.9</v>
      </c>
      <c r="G146" s="3">
        <v>44465.39784805555</v>
      </c>
    </row>
    <row r="147">
      <c r="A147" s="2">
        <v>0.07</v>
      </c>
      <c r="B147" s="2">
        <v>224.0</v>
      </c>
      <c r="C147" s="2">
        <v>6.5</v>
      </c>
      <c r="D147" s="2">
        <v>6.46</v>
      </c>
      <c r="E147" s="2">
        <v>0.43</v>
      </c>
      <c r="F147" s="2">
        <v>49.9</v>
      </c>
      <c r="G147" s="3">
        <v>44465.39794923611</v>
      </c>
    </row>
    <row r="148">
      <c r="A148" s="2">
        <v>0.06</v>
      </c>
      <c r="B148" s="2">
        <v>224.0</v>
      </c>
      <c r="C148" s="2">
        <v>5.9</v>
      </c>
      <c r="D148" s="2">
        <v>6.46</v>
      </c>
      <c r="E148" s="2">
        <v>0.41</v>
      </c>
      <c r="F148" s="2">
        <v>50.0</v>
      </c>
      <c r="G148" s="3">
        <v>44465.39805412037</v>
      </c>
    </row>
    <row r="149">
      <c r="A149" s="2">
        <v>0.07</v>
      </c>
      <c r="B149" s="2">
        <v>224.1</v>
      </c>
      <c r="C149" s="2">
        <v>6.1</v>
      </c>
      <c r="D149" s="2">
        <v>6.46</v>
      </c>
      <c r="E149" s="2">
        <v>0.41</v>
      </c>
      <c r="F149" s="2">
        <v>49.9</v>
      </c>
      <c r="G149" s="3">
        <v>44465.398155625</v>
      </c>
    </row>
    <row r="150">
      <c r="A150" s="2">
        <v>0.06</v>
      </c>
      <c r="B150" s="2">
        <v>224.2</v>
      </c>
      <c r="C150" s="2">
        <v>5.4</v>
      </c>
      <c r="D150" s="2">
        <v>6.46</v>
      </c>
      <c r="E150" s="2">
        <v>0.39</v>
      </c>
      <c r="F150" s="2">
        <v>49.9</v>
      </c>
      <c r="G150" s="3">
        <v>44465.398258622685</v>
      </c>
    </row>
    <row r="151">
      <c r="A151" s="2">
        <v>0.06</v>
      </c>
      <c r="B151" s="2">
        <v>224.3</v>
      </c>
      <c r="C151" s="2">
        <v>5.5</v>
      </c>
      <c r="D151" s="2">
        <v>6.46</v>
      </c>
      <c r="E151" s="2">
        <v>0.4</v>
      </c>
      <c r="F151" s="2">
        <v>50.0</v>
      </c>
      <c r="G151" s="3">
        <v>44465.39836457176</v>
      </c>
    </row>
    <row r="152">
      <c r="A152" s="2">
        <v>0.06</v>
      </c>
      <c r="B152" s="2">
        <v>224.6</v>
      </c>
      <c r="C152" s="2">
        <v>6.0</v>
      </c>
      <c r="D152" s="2">
        <v>6.46</v>
      </c>
      <c r="E152" s="2">
        <v>0.41</v>
      </c>
      <c r="F152" s="2">
        <v>50.0</v>
      </c>
      <c r="G152" s="3">
        <v>44465.39846957176</v>
      </c>
    </row>
    <row r="153">
      <c r="A153" s="2">
        <v>0.06</v>
      </c>
      <c r="B153" s="2">
        <v>224.6</v>
      </c>
      <c r="C153" s="2">
        <v>5.8</v>
      </c>
      <c r="D153" s="2">
        <v>6.46</v>
      </c>
      <c r="E153" s="2">
        <v>0.4</v>
      </c>
      <c r="F153" s="2">
        <v>50.0</v>
      </c>
      <c r="G153" s="3">
        <v>44465.39883875</v>
      </c>
    </row>
    <row r="154">
      <c r="A154" s="2">
        <v>0.07</v>
      </c>
      <c r="B154" s="2">
        <v>224.5</v>
      </c>
      <c r="C154" s="2">
        <v>6.2</v>
      </c>
      <c r="D154" s="2">
        <v>6.46</v>
      </c>
      <c r="E154" s="2">
        <v>0.42</v>
      </c>
      <c r="F154" s="2">
        <v>50.0</v>
      </c>
      <c r="G154" s="3">
        <v>44465.398946608795</v>
      </c>
    </row>
    <row r="155">
      <c r="A155" s="2">
        <v>0.07</v>
      </c>
      <c r="B155" s="2">
        <v>224.4</v>
      </c>
      <c r="C155" s="2">
        <v>6.6</v>
      </c>
      <c r="D155" s="2">
        <v>6.46</v>
      </c>
      <c r="E155" s="2">
        <v>0.43</v>
      </c>
      <c r="F155" s="2">
        <v>50.0</v>
      </c>
      <c r="G155" s="3">
        <v>44465.399050520835</v>
      </c>
    </row>
    <row r="156">
      <c r="A156" s="2">
        <v>0.07</v>
      </c>
      <c r="B156" s="2">
        <v>224.1</v>
      </c>
      <c r="C156" s="2">
        <v>6.5</v>
      </c>
      <c r="D156" s="2">
        <v>6.46</v>
      </c>
      <c r="E156" s="2">
        <v>0.43</v>
      </c>
      <c r="F156" s="2">
        <v>50.0</v>
      </c>
      <c r="G156" s="3">
        <v>44465.39915328704</v>
      </c>
    </row>
    <row r="157">
      <c r="A157" s="2">
        <v>0.07</v>
      </c>
      <c r="B157" s="2">
        <v>224.6</v>
      </c>
      <c r="C157" s="2">
        <v>6.5</v>
      </c>
      <c r="D157" s="2">
        <v>6.46</v>
      </c>
      <c r="E157" s="2">
        <v>0.42</v>
      </c>
      <c r="F157" s="2">
        <v>50.0</v>
      </c>
      <c r="G157" s="3">
        <v>44465.399412280094</v>
      </c>
    </row>
    <row r="158">
      <c r="A158" s="2">
        <v>0.06</v>
      </c>
      <c r="B158" s="2">
        <v>224.3</v>
      </c>
      <c r="C158" s="2">
        <v>5.9</v>
      </c>
      <c r="D158" s="2">
        <v>6.46</v>
      </c>
      <c r="E158" s="2">
        <v>0.4</v>
      </c>
      <c r="F158" s="2">
        <v>50.0</v>
      </c>
      <c r="G158" s="3">
        <v>44465.399523541666</v>
      </c>
    </row>
    <row r="159">
      <c r="A159" s="2">
        <v>0.05</v>
      </c>
      <c r="B159" s="2">
        <v>224.2</v>
      </c>
      <c r="C159" s="2">
        <v>3.6</v>
      </c>
      <c r="D159" s="2">
        <v>6.46</v>
      </c>
      <c r="E159" s="2">
        <v>0.32</v>
      </c>
      <c r="F159" s="2">
        <v>50.0</v>
      </c>
      <c r="G159" s="3">
        <v>44465.399631458335</v>
      </c>
    </row>
    <row r="160">
      <c r="A160" s="2">
        <v>0.04</v>
      </c>
      <c r="B160" s="2">
        <v>224.2</v>
      </c>
      <c r="C160" s="2">
        <v>0.5</v>
      </c>
      <c r="D160" s="2">
        <v>6.46</v>
      </c>
      <c r="E160" s="2">
        <v>0.06</v>
      </c>
      <c r="F160" s="2">
        <v>50.0</v>
      </c>
      <c r="G160" s="3">
        <v>44465.39973311343</v>
      </c>
    </row>
    <row r="161">
      <c r="A161" s="2">
        <v>0.04</v>
      </c>
      <c r="B161" s="2">
        <v>225.0</v>
      </c>
      <c r="C161" s="2">
        <v>0.5</v>
      </c>
      <c r="D161" s="2">
        <v>6.46</v>
      </c>
      <c r="E161" s="2">
        <v>0.06</v>
      </c>
      <c r="F161" s="2">
        <v>49.9</v>
      </c>
      <c r="G161" s="3">
        <v>44465.399854675925</v>
      </c>
    </row>
    <row r="162">
      <c r="A162" s="2">
        <v>0.04</v>
      </c>
      <c r="B162" s="2">
        <v>225.1</v>
      </c>
      <c r="C162" s="2">
        <v>0.5</v>
      </c>
      <c r="D162" s="2">
        <v>6.46</v>
      </c>
      <c r="E162" s="2">
        <v>0.06</v>
      </c>
      <c r="F162" s="2">
        <v>50.0</v>
      </c>
      <c r="G162" s="3">
        <v>44465.39995765046</v>
      </c>
    </row>
    <row r="163">
      <c r="A163" s="2">
        <v>0.04</v>
      </c>
      <c r="B163" s="2">
        <v>225.2</v>
      </c>
      <c r="C163" s="2">
        <v>0.5</v>
      </c>
      <c r="D163" s="2">
        <v>6.46</v>
      </c>
      <c r="E163" s="2">
        <v>0.06</v>
      </c>
      <c r="F163" s="2">
        <v>50.0</v>
      </c>
      <c r="G163" s="3">
        <v>44465.400056412036</v>
      </c>
    </row>
    <row r="164">
      <c r="A164" s="2">
        <v>0.04</v>
      </c>
      <c r="B164" s="2">
        <v>225.0</v>
      </c>
      <c r="C164" s="2">
        <v>0.5</v>
      </c>
      <c r="D164" s="2">
        <v>6.46</v>
      </c>
      <c r="E164" s="2">
        <v>0.06</v>
      </c>
      <c r="F164" s="2">
        <v>50.0</v>
      </c>
      <c r="G164" s="3">
        <v>44465.40015972222</v>
      </c>
    </row>
    <row r="165">
      <c r="A165" s="2">
        <v>0.04</v>
      </c>
      <c r="B165" s="2">
        <v>225.2</v>
      </c>
      <c r="C165" s="2">
        <v>0.5</v>
      </c>
      <c r="D165" s="2">
        <v>6.46</v>
      </c>
      <c r="E165" s="2">
        <v>0.06</v>
      </c>
      <c r="F165" s="2">
        <v>50.0</v>
      </c>
      <c r="G165" s="3">
        <v>44465.40026415509</v>
      </c>
    </row>
    <row r="166">
      <c r="A166" s="2">
        <v>0.04</v>
      </c>
      <c r="B166" s="2">
        <v>224.8</v>
      </c>
      <c r="C166" s="2">
        <v>0.5</v>
      </c>
      <c r="D166" s="2">
        <v>6.46</v>
      </c>
      <c r="E166" s="2">
        <v>0.06</v>
      </c>
      <c r="F166" s="2">
        <v>50.0</v>
      </c>
      <c r="G166" s="3">
        <v>44465.40036497686</v>
      </c>
    </row>
    <row r="167">
      <c r="A167" s="2">
        <v>0.04</v>
      </c>
      <c r="B167" s="2">
        <v>224.9</v>
      </c>
      <c r="C167" s="2">
        <v>0.5</v>
      </c>
      <c r="D167" s="2">
        <v>6.46</v>
      </c>
      <c r="E167" s="2">
        <v>0.06</v>
      </c>
      <c r="F167" s="2">
        <v>50.0</v>
      </c>
      <c r="G167" s="3">
        <v>44465.40046684028</v>
      </c>
    </row>
    <row r="168">
      <c r="A168" s="2">
        <v>0.04</v>
      </c>
      <c r="B168" s="2">
        <v>225.8</v>
      </c>
      <c r="C168" s="2">
        <v>0.6</v>
      </c>
      <c r="D168" s="2">
        <v>6.46</v>
      </c>
      <c r="E168" s="2">
        <v>0.07</v>
      </c>
      <c r="F168" s="2">
        <v>50.0</v>
      </c>
      <c r="G168" s="3">
        <v>44465.40057136574</v>
      </c>
    </row>
    <row r="169">
      <c r="A169" s="2">
        <v>0.04</v>
      </c>
      <c r="B169" s="2">
        <v>227.0</v>
      </c>
      <c r="C169" s="2">
        <v>0.5</v>
      </c>
      <c r="D169" s="2">
        <v>6.46</v>
      </c>
      <c r="E169" s="2">
        <v>0.06</v>
      </c>
      <c r="F169" s="2">
        <v>50.0</v>
      </c>
      <c r="G169" s="3">
        <v>44465.40067565972</v>
      </c>
    </row>
    <row r="170">
      <c r="A170" s="2">
        <v>0.04</v>
      </c>
      <c r="B170" s="2">
        <v>226.9</v>
      </c>
      <c r="C170" s="2">
        <v>0.5</v>
      </c>
      <c r="D170" s="2">
        <v>6.46</v>
      </c>
      <c r="E170" s="2">
        <v>0.06</v>
      </c>
      <c r="F170" s="2">
        <v>50.0</v>
      </c>
      <c r="G170" s="3">
        <v>44465.400780972224</v>
      </c>
    </row>
    <row r="171">
      <c r="A171" s="2">
        <v>0.04</v>
      </c>
      <c r="B171" s="2">
        <v>227.4</v>
      </c>
      <c r="C171" s="2">
        <v>0.6</v>
      </c>
      <c r="D171" s="2">
        <v>6.46</v>
      </c>
      <c r="E171" s="2">
        <v>0.07</v>
      </c>
      <c r="F171" s="2">
        <v>50.0</v>
      </c>
      <c r="G171" s="3">
        <v>44465.400886793985</v>
      </c>
    </row>
    <row r="172">
      <c r="A172" s="2">
        <v>0.04</v>
      </c>
      <c r="B172" s="2">
        <v>227.4</v>
      </c>
      <c r="C172" s="2">
        <v>0.6</v>
      </c>
      <c r="D172" s="2">
        <v>6.46</v>
      </c>
      <c r="E172" s="2">
        <v>0.07</v>
      </c>
      <c r="F172" s="2">
        <v>50.0</v>
      </c>
      <c r="G172" s="3">
        <v>44465.40099359954</v>
      </c>
    </row>
    <row r="173">
      <c r="A173" s="2">
        <v>0.04</v>
      </c>
      <c r="B173" s="2">
        <v>227.6</v>
      </c>
      <c r="C173" s="2">
        <v>0.5</v>
      </c>
      <c r="D173" s="2">
        <v>6.46</v>
      </c>
      <c r="E173" s="2">
        <v>0.06</v>
      </c>
      <c r="F173" s="2">
        <v>50.0</v>
      </c>
      <c r="G173" s="3">
        <v>44465.4011005787</v>
      </c>
    </row>
    <row r="174">
      <c r="A174" s="2">
        <v>0.04</v>
      </c>
      <c r="B174" s="2">
        <v>227.4</v>
      </c>
      <c r="C174" s="2">
        <v>0.5</v>
      </c>
      <c r="D174" s="2">
        <v>6.46</v>
      </c>
      <c r="E174" s="2">
        <v>0.06</v>
      </c>
      <c r="F174" s="2">
        <v>50.0</v>
      </c>
      <c r="G174" s="3">
        <v>44465.4012024074</v>
      </c>
    </row>
    <row r="175">
      <c r="A175" s="2">
        <v>0.04</v>
      </c>
      <c r="B175" s="2">
        <v>226.8</v>
      </c>
      <c r="C175" s="2">
        <v>0.5</v>
      </c>
      <c r="D175" s="2">
        <v>6.46</v>
      </c>
      <c r="E175" s="2">
        <v>0.06</v>
      </c>
      <c r="F175" s="2">
        <v>50.0</v>
      </c>
      <c r="G175" s="3">
        <v>44465.40130563657</v>
      </c>
    </row>
    <row r="176">
      <c r="A176" s="2">
        <v>0.04</v>
      </c>
      <c r="B176" s="2">
        <v>226.9</v>
      </c>
      <c r="C176" s="2">
        <v>0.6</v>
      </c>
      <c r="D176" s="2">
        <v>6.46</v>
      </c>
      <c r="E176" s="2">
        <v>0.07</v>
      </c>
      <c r="F176" s="2">
        <v>49.9</v>
      </c>
      <c r="G176" s="3">
        <v>44465.40140663194</v>
      </c>
    </row>
    <row r="177">
      <c r="A177" s="2">
        <v>0.04</v>
      </c>
      <c r="B177" s="2">
        <v>226.5</v>
      </c>
      <c r="C177" s="2">
        <v>0.5</v>
      </c>
      <c r="D177" s="2">
        <v>6.46</v>
      </c>
      <c r="E177" s="2">
        <v>0.06</v>
      </c>
      <c r="F177" s="2">
        <v>49.9</v>
      </c>
      <c r="G177" s="3">
        <v>44465.40150940973</v>
      </c>
    </row>
    <row r="178">
      <c r="A178" s="2">
        <v>0.04</v>
      </c>
      <c r="B178" s="2">
        <v>226.8</v>
      </c>
      <c r="C178" s="2">
        <v>0.5</v>
      </c>
      <c r="D178" s="2">
        <v>6.46</v>
      </c>
      <c r="E178" s="2">
        <v>0.06</v>
      </c>
      <c r="F178" s="2">
        <v>49.9</v>
      </c>
      <c r="G178" s="3">
        <v>44465.40161194444</v>
      </c>
    </row>
    <row r="179">
      <c r="A179" s="2">
        <v>0.04</v>
      </c>
      <c r="B179" s="2">
        <v>226.7</v>
      </c>
      <c r="C179" s="2">
        <v>0.5</v>
      </c>
      <c r="D179" s="2">
        <v>6.46</v>
      </c>
      <c r="E179" s="2">
        <v>0.06</v>
      </c>
      <c r="F179" s="2">
        <v>49.9</v>
      </c>
      <c r="G179" s="3">
        <v>44465.401713240746</v>
      </c>
    </row>
    <row r="180">
      <c r="A180" s="2">
        <v>0.04</v>
      </c>
      <c r="B180" s="2">
        <v>226.6</v>
      </c>
      <c r="C180" s="2">
        <v>0.6</v>
      </c>
      <c r="D180" s="2">
        <v>6.46</v>
      </c>
      <c r="E180" s="2">
        <v>0.07</v>
      </c>
      <c r="F180" s="2">
        <v>49.9</v>
      </c>
      <c r="G180" s="3">
        <v>44465.40181445602</v>
      </c>
    </row>
    <row r="181">
      <c r="A181" s="2">
        <v>0.04</v>
      </c>
      <c r="B181" s="2">
        <v>226.8</v>
      </c>
      <c r="C181" s="2">
        <v>0.5</v>
      </c>
      <c r="D181" s="2">
        <v>6.46</v>
      </c>
      <c r="E181" s="2">
        <v>0.06</v>
      </c>
      <c r="F181" s="2">
        <v>49.9</v>
      </c>
      <c r="G181" s="3">
        <v>44465.40191744213</v>
      </c>
    </row>
    <row r="182">
      <c r="A182" s="2">
        <v>0.04</v>
      </c>
      <c r="B182" s="2">
        <v>227.1</v>
      </c>
      <c r="C182" s="2">
        <v>0.5</v>
      </c>
      <c r="D182" s="2">
        <v>6.46</v>
      </c>
      <c r="E182" s="2">
        <v>0.06</v>
      </c>
      <c r="F182" s="2">
        <v>50.0</v>
      </c>
      <c r="G182" s="3">
        <v>44465.40232840278</v>
      </c>
    </row>
    <row r="183">
      <c r="A183" s="2">
        <v>0.04</v>
      </c>
      <c r="B183" s="2">
        <v>227.1</v>
      </c>
      <c r="C183" s="2">
        <v>0.5</v>
      </c>
      <c r="D183" s="2">
        <v>6.46</v>
      </c>
      <c r="E183" s="2">
        <v>0.06</v>
      </c>
      <c r="F183" s="2">
        <v>50.0</v>
      </c>
      <c r="G183" s="3">
        <v>44465.40242943287</v>
      </c>
    </row>
    <row r="184">
      <c r="A184" s="2">
        <v>0.04</v>
      </c>
      <c r="B184" s="2">
        <v>226.8</v>
      </c>
      <c r="C184" s="2">
        <v>0.5</v>
      </c>
      <c r="D184" s="2">
        <v>6.46</v>
      </c>
      <c r="E184" s="2">
        <v>0.06</v>
      </c>
      <c r="F184" s="2">
        <v>50.0</v>
      </c>
      <c r="G184" s="3">
        <v>44465.4025362963</v>
      </c>
    </row>
    <row r="185">
      <c r="A185" s="2">
        <v>0.04</v>
      </c>
      <c r="B185" s="2">
        <v>227.2</v>
      </c>
      <c r="C185" s="2">
        <v>0.5</v>
      </c>
      <c r="D185" s="2">
        <v>6.46</v>
      </c>
      <c r="E185" s="2">
        <v>0.06</v>
      </c>
      <c r="F185" s="2">
        <v>50.0</v>
      </c>
      <c r="G185" s="3">
        <v>44465.40264185185</v>
      </c>
    </row>
    <row r="186">
      <c r="A186" s="2">
        <v>0.04</v>
      </c>
      <c r="B186" s="2">
        <v>227.2</v>
      </c>
      <c r="C186" s="2">
        <v>0.5</v>
      </c>
      <c r="D186" s="2">
        <v>6.46</v>
      </c>
      <c r="E186" s="2">
        <v>0.06</v>
      </c>
      <c r="F186" s="2">
        <v>50.0</v>
      </c>
      <c r="G186" s="3">
        <v>44465.40273952547</v>
      </c>
    </row>
    <row r="187">
      <c r="A187" s="2">
        <v>0.04</v>
      </c>
      <c r="B187" s="2">
        <v>227.3</v>
      </c>
      <c r="C187" s="2">
        <v>0.5</v>
      </c>
      <c r="D187" s="2">
        <v>6.46</v>
      </c>
      <c r="E187" s="2">
        <v>0.06</v>
      </c>
      <c r="F187" s="2">
        <v>50.0</v>
      </c>
      <c r="G187" s="3">
        <v>44465.402840219904</v>
      </c>
    </row>
    <row r="188">
      <c r="A188" s="2">
        <v>0.04</v>
      </c>
      <c r="B188" s="2">
        <v>226.9</v>
      </c>
      <c r="C188" s="2">
        <v>0.5</v>
      </c>
      <c r="D188" s="2">
        <v>6.46</v>
      </c>
      <c r="E188" s="2">
        <v>0.06</v>
      </c>
      <c r="F188" s="2">
        <v>50.0</v>
      </c>
      <c r="G188" s="3">
        <v>44465.40293979167</v>
      </c>
    </row>
    <row r="189">
      <c r="A189" s="2">
        <v>0.04</v>
      </c>
      <c r="B189" s="2">
        <v>226.7</v>
      </c>
      <c r="C189" s="2">
        <v>0.5</v>
      </c>
      <c r="D189" s="2">
        <v>6.46</v>
      </c>
      <c r="E189" s="2">
        <v>0.06</v>
      </c>
      <c r="F189" s="2">
        <v>50.0</v>
      </c>
      <c r="G189" s="3">
        <v>44465.40303956019</v>
      </c>
    </row>
    <row r="190">
      <c r="A190" s="2">
        <v>0.04</v>
      </c>
      <c r="B190" s="2">
        <v>226.9</v>
      </c>
      <c r="C190" s="2">
        <v>0.6</v>
      </c>
      <c r="D190" s="2">
        <v>6.46</v>
      </c>
      <c r="E190" s="2">
        <v>0.07</v>
      </c>
      <c r="F190" s="2">
        <v>50.0</v>
      </c>
      <c r="G190" s="3">
        <v>44465.40314445602</v>
      </c>
    </row>
    <row r="191">
      <c r="A191" s="2">
        <v>0.04</v>
      </c>
      <c r="B191" s="2">
        <v>226.5</v>
      </c>
      <c r="C191" s="2">
        <v>0.5</v>
      </c>
      <c r="D191" s="2">
        <v>6.46</v>
      </c>
      <c r="E191" s="2">
        <v>0.06</v>
      </c>
      <c r="F191" s="2">
        <v>49.9</v>
      </c>
      <c r="G191" s="3">
        <v>44465.40328508102</v>
      </c>
    </row>
    <row r="192">
      <c r="A192" s="2">
        <v>0.04</v>
      </c>
      <c r="B192" s="2">
        <v>226.8</v>
      </c>
      <c r="C192" s="2">
        <v>0.5</v>
      </c>
      <c r="D192" s="2">
        <v>6.46</v>
      </c>
      <c r="E192" s="2">
        <v>0.06</v>
      </c>
      <c r="F192" s="2">
        <v>49.9</v>
      </c>
      <c r="G192" s="3">
        <v>44465.40338600695</v>
      </c>
    </row>
    <row r="193">
      <c r="A193" s="2">
        <v>0.04</v>
      </c>
      <c r="B193" s="2">
        <v>226.6</v>
      </c>
      <c r="C193" s="2">
        <v>0.5</v>
      </c>
      <c r="D193" s="2">
        <v>6.46</v>
      </c>
      <c r="E193" s="2">
        <v>0.06</v>
      </c>
      <c r="F193" s="2">
        <v>50.0</v>
      </c>
      <c r="G193" s="3">
        <v>44465.40349052083</v>
      </c>
    </row>
    <row r="194">
      <c r="A194" s="2">
        <v>0.04</v>
      </c>
      <c r="B194" s="2">
        <v>226.6</v>
      </c>
      <c r="C194" s="2">
        <v>0.6</v>
      </c>
      <c r="D194" s="2">
        <v>6.46</v>
      </c>
      <c r="E194" s="2">
        <v>0.07</v>
      </c>
      <c r="F194" s="2">
        <v>49.9</v>
      </c>
      <c r="G194" s="3">
        <v>44465.403592511575</v>
      </c>
    </row>
    <row r="195">
      <c r="A195" s="2">
        <v>0.04</v>
      </c>
      <c r="B195" s="2">
        <v>227.0</v>
      </c>
      <c r="C195" s="2">
        <v>0.5</v>
      </c>
      <c r="D195" s="2">
        <v>6.46</v>
      </c>
      <c r="E195" s="2">
        <v>0.06</v>
      </c>
      <c r="F195" s="2">
        <v>49.9</v>
      </c>
      <c r="G195" s="3">
        <v>44465.40369440972</v>
      </c>
    </row>
    <row r="196">
      <c r="A196" s="2">
        <v>0.04</v>
      </c>
      <c r="B196" s="2">
        <v>226.9</v>
      </c>
      <c r="C196" s="2">
        <v>0.5</v>
      </c>
      <c r="D196" s="2">
        <v>6.46</v>
      </c>
      <c r="E196" s="2">
        <v>0.06</v>
      </c>
      <c r="F196" s="2">
        <v>49.9</v>
      </c>
      <c r="G196" s="3">
        <v>44465.40379519676</v>
      </c>
    </row>
    <row r="197">
      <c r="A197" s="2">
        <v>0.04</v>
      </c>
      <c r="B197" s="2">
        <v>227.4</v>
      </c>
      <c r="C197" s="2">
        <v>0.7</v>
      </c>
      <c r="D197" s="2">
        <v>6.46</v>
      </c>
      <c r="E197" s="2">
        <v>0.08</v>
      </c>
      <c r="F197" s="2">
        <v>49.9</v>
      </c>
      <c r="G197" s="3">
        <v>44465.40389453704</v>
      </c>
    </row>
    <row r="198">
      <c r="A198" s="2">
        <v>0.06</v>
      </c>
      <c r="B198" s="2">
        <v>227.3</v>
      </c>
      <c r="C198" s="2">
        <v>6.1</v>
      </c>
      <c r="D198" s="2">
        <v>6.46</v>
      </c>
      <c r="E198" s="2">
        <v>0.41</v>
      </c>
      <c r="F198" s="2">
        <v>49.9</v>
      </c>
      <c r="G198" s="3">
        <v>44465.40399636574</v>
      </c>
    </row>
    <row r="199">
      <c r="A199" s="2">
        <v>0.04</v>
      </c>
      <c r="B199" s="2">
        <v>227.2</v>
      </c>
      <c r="C199" s="2">
        <v>0.5</v>
      </c>
      <c r="D199" s="2">
        <v>6.46</v>
      </c>
      <c r="E199" s="2">
        <v>0.06</v>
      </c>
      <c r="F199" s="2">
        <v>49.9</v>
      </c>
      <c r="G199" s="3">
        <v>44465.40410487269</v>
      </c>
    </row>
    <row r="200">
      <c r="A200" s="2">
        <v>0.04</v>
      </c>
      <c r="B200" s="2">
        <v>227.8</v>
      </c>
      <c r="C200" s="2">
        <v>0.5</v>
      </c>
      <c r="D200" s="2">
        <v>6.46</v>
      </c>
      <c r="E200" s="2">
        <v>0.06</v>
      </c>
      <c r="F200" s="2">
        <v>50.0</v>
      </c>
      <c r="G200" s="3">
        <v>44465.40421127315</v>
      </c>
    </row>
    <row r="201">
      <c r="A201" s="2">
        <v>0.04</v>
      </c>
      <c r="B201" s="2">
        <v>227.6</v>
      </c>
      <c r="C201" s="2">
        <v>0.5</v>
      </c>
      <c r="D201" s="2">
        <v>6.46</v>
      </c>
      <c r="E201" s="2">
        <v>0.06</v>
      </c>
      <c r="F201" s="2">
        <v>50.0</v>
      </c>
      <c r="G201" s="3">
        <v>44465.4043103125</v>
      </c>
    </row>
    <row r="202">
      <c r="A202" s="2">
        <v>0.04</v>
      </c>
      <c r="B202" s="2">
        <v>227.1</v>
      </c>
      <c r="C202" s="2">
        <v>0.5</v>
      </c>
      <c r="D202" s="2">
        <v>6.46</v>
      </c>
      <c r="E202" s="2">
        <v>0.06</v>
      </c>
      <c r="F202" s="2">
        <v>49.9</v>
      </c>
      <c r="G202" s="3">
        <v>44465.404417592596</v>
      </c>
    </row>
    <row r="203">
      <c r="A203" s="2">
        <v>0.04</v>
      </c>
      <c r="B203" s="2">
        <v>227.3</v>
      </c>
      <c r="C203" s="2">
        <v>0.5</v>
      </c>
      <c r="D203" s="2">
        <v>6.46</v>
      </c>
      <c r="E203" s="2">
        <v>0.06</v>
      </c>
      <c r="F203" s="2">
        <v>49.9</v>
      </c>
      <c r="G203" s="3">
        <v>44465.40452788194</v>
      </c>
    </row>
    <row r="204">
      <c r="A204" s="2">
        <v>0.04</v>
      </c>
      <c r="B204" s="2">
        <v>227.1</v>
      </c>
      <c r="C204" s="2">
        <v>0.5</v>
      </c>
      <c r="D204" s="2">
        <v>6.46</v>
      </c>
      <c r="E204" s="2">
        <v>0.06</v>
      </c>
      <c r="F204" s="2">
        <v>49.9</v>
      </c>
      <c r="G204" s="3">
        <v>44465.40463258102</v>
      </c>
    </row>
    <row r="205">
      <c r="A205" s="2">
        <v>0.04</v>
      </c>
      <c r="B205" s="2">
        <v>226.9</v>
      </c>
      <c r="C205" s="2">
        <v>0.5</v>
      </c>
      <c r="D205" s="2">
        <v>6.46</v>
      </c>
      <c r="E205" s="2">
        <v>0.06</v>
      </c>
      <c r="F205" s="2">
        <v>49.9</v>
      </c>
      <c r="G205" s="3">
        <v>44465.40473207176</v>
      </c>
    </row>
    <row r="206">
      <c r="A206" s="2">
        <v>0.04</v>
      </c>
      <c r="B206" s="2">
        <v>227.2</v>
      </c>
      <c r="C206" s="2">
        <v>0.5</v>
      </c>
      <c r="D206" s="2">
        <v>6.46</v>
      </c>
      <c r="E206" s="2">
        <v>0.06</v>
      </c>
      <c r="F206" s="2">
        <v>49.9</v>
      </c>
      <c r="G206" s="3">
        <v>44465.404836851856</v>
      </c>
    </row>
    <row r="207">
      <c r="A207" s="2">
        <v>0.04</v>
      </c>
      <c r="B207" s="2">
        <v>227.2</v>
      </c>
      <c r="C207" s="2">
        <v>0.5</v>
      </c>
      <c r="D207" s="2">
        <v>6.46</v>
      </c>
      <c r="E207" s="2">
        <v>0.06</v>
      </c>
      <c r="F207" s="2">
        <v>49.9</v>
      </c>
      <c r="G207" s="3">
        <v>44465.4049364699</v>
      </c>
    </row>
    <row r="208">
      <c r="A208" s="2">
        <v>0.04</v>
      </c>
      <c r="B208" s="2">
        <v>227.4</v>
      </c>
      <c r="C208" s="2">
        <v>0.5</v>
      </c>
      <c r="D208" s="2">
        <v>6.46</v>
      </c>
      <c r="E208" s="2">
        <v>0.06</v>
      </c>
      <c r="F208" s="2">
        <v>50.0</v>
      </c>
      <c r="G208" s="3">
        <v>44465.40515061343</v>
      </c>
    </row>
    <row r="209">
      <c r="A209" s="2">
        <v>0.04</v>
      </c>
      <c r="B209" s="2">
        <v>227.1</v>
      </c>
      <c r="C209" s="2">
        <v>0.5</v>
      </c>
      <c r="D209" s="2">
        <v>6.46</v>
      </c>
      <c r="E209" s="2">
        <v>0.06</v>
      </c>
      <c r="F209" s="2">
        <v>49.9</v>
      </c>
      <c r="G209" s="3">
        <v>44465.40525633102</v>
      </c>
    </row>
    <row r="210">
      <c r="A210" s="2">
        <v>0.04</v>
      </c>
      <c r="B210" s="2">
        <v>227.4</v>
      </c>
      <c r="C210" s="2">
        <v>0.5</v>
      </c>
      <c r="D210" s="2">
        <v>6.46</v>
      </c>
      <c r="E210" s="2">
        <v>0.06</v>
      </c>
      <c r="F210" s="2">
        <v>49.9</v>
      </c>
      <c r="G210" s="3">
        <v>44465.40535775463</v>
      </c>
    </row>
    <row r="211">
      <c r="A211" s="2">
        <v>0.04</v>
      </c>
      <c r="B211" s="2">
        <v>227.5</v>
      </c>
      <c r="C211" s="2">
        <v>0.5</v>
      </c>
      <c r="D211" s="2">
        <v>6.46</v>
      </c>
      <c r="E211" s="2">
        <v>0.06</v>
      </c>
      <c r="F211" s="2">
        <v>50.0</v>
      </c>
      <c r="G211" s="3">
        <v>44465.40545730324</v>
      </c>
    </row>
    <row r="212">
      <c r="A212" s="2">
        <v>0.04</v>
      </c>
      <c r="B212" s="2">
        <v>227.8</v>
      </c>
      <c r="C212" s="2">
        <v>0.7</v>
      </c>
      <c r="D212" s="2">
        <v>6.46</v>
      </c>
      <c r="E212" s="2">
        <v>0.08</v>
      </c>
      <c r="F212" s="2">
        <v>49.9</v>
      </c>
      <c r="G212" s="3">
        <v>44465.405558425926</v>
      </c>
    </row>
    <row r="213">
      <c r="A213" s="2">
        <v>0.04</v>
      </c>
      <c r="B213" s="2">
        <v>227.5</v>
      </c>
      <c r="C213" s="2">
        <v>0.7</v>
      </c>
      <c r="D213" s="2">
        <v>6.46</v>
      </c>
      <c r="E213" s="2">
        <v>0.08</v>
      </c>
      <c r="F213" s="2">
        <v>49.9</v>
      </c>
      <c r="G213" s="3">
        <v>44465.4056574537</v>
      </c>
    </row>
    <row r="214">
      <c r="A214" s="2">
        <v>0.04</v>
      </c>
      <c r="B214" s="2">
        <v>227.5</v>
      </c>
      <c r="C214" s="2">
        <v>0.6</v>
      </c>
      <c r="D214" s="2">
        <v>6.46</v>
      </c>
      <c r="E214" s="2">
        <v>0.07</v>
      </c>
      <c r="F214" s="2">
        <v>49.9</v>
      </c>
      <c r="G214" s="3">
        <v>44465.40575796296</v>
      </c>
    </row>
    <row r="215">
      <c r="A215" s="2">
        <v>0.04</v>
      </c>
      <c r="B215" s="2">
        <v>227.6</v>
      </c>
      <c r="C215" s="2">
        <v>0.6</v>
      </c>
      <c r="D215" s="2">
        <v>6.46</v>
      </c>
      <c r="E215" s="2">
        <v>0.07</v>
      </c>
      <c r="F215" s="2">
        <v>49.9</v>
      </c>
      <c r="G215" s="3">
        <v>44465.40586274306</v>
      </c>
    </row>
    <row r="216">
      <c r="A216" s="2">
        <v>0.04</v>
      </c>
      <c r="B216" s="2">
        <v>227.5</v>
      </c>
      <c r="C216" s="2">
        <v>0.7</v>
      </c>
      <c r="D216" s="2">
        <v>6.46</v>
      </c>
      <c r="E216" s="2">
        <v>0.08</v>
      </c>
      <c r="F216" s="2">
        <v>49.9</v>
      </c>
      <c r="G216" s="3">
        <v>44465.40596729166</v>
      </c>
    </row>
    <row r="217">
      <c r="A217" s="2">
        <v>0.04</v>
      </c>
      <c r="B217" s="2">
        <v>227.6</v>
      </c>
      <c r="C217" s="2">
        <v>0.5</v>
      </c>
      <c r="D217" s="2">
        <v>6.46</v>
      </c>
      <c r="E217" s="2">
        <v>0.06</v>
      </c>
      <c r="F217" s="2">
        <v>50.0</v>
      </c>
      <c r="G217" s="3">
        <v>44465.406071377314</v>
      </c>
    </row>
    <row r="218">
      <c r="A218" s="2">
        <v>0.04</v>
      </c>
      <c r="B218" s="2">
        <v>227.4</v>
      </c>
      <c r="C218" s="2">
        <v>0.5</v>
      </c>
      <c r="D218" s="2">
        <v>6.46</v>
      </c>
      <c r="E218" s="2">
        <v>0.06</v>
      </c>
      <c r="F218" s="2">
        <v>50.0</v>
      </c>
      <c r="G218" s="3">
        <v>44465.406177627316</v>
      </c>
    </row>
    <row r="219">
      <c r="A219" s="2">
        <v>0.04</v>
      </c>
      <c r="B219" s="2">
        <v>227.3</v>
      </c>
      <c r="C219" s="2">
        <v>0.5</v>
      </c>
      <c r="D219" s="2">
        <v>6.46</v>
      </c>
      <c r="E219" s="2">
        <v>0.06</v>
      </c>
      <c r="F219" s="2">
        <v>50.0</v>
      </c>
      <c r="G219" s="3">
        <v>44465.40628300926</v>
      </c>
    </row>
    <row r="220">
      <c r="A220" s="2">
        <v>0.04</v>
      </c>
      <c r="B220" s="2">
        <v>227.0</v>
      </c>
      <c r="C220" s="2">
        <v>0.5</v>
      </c>
      <c r="D220" s="2">
        <v>6.46</v>
      </c>
      <c r="E220" s="2">
        <v>0.06</v>
      </c>
      <c r="F220" s="2">
        <v>50.0</v>
      </c>
      <c r="G220" s="3">
        <v>44465.40638586806</v>
      </c>
    </row>
    <row r="221">
      <c r="A221" s="2">
        <v>0.04</v>
      </c>
      <c r="B221" s="2">
        <v>227.2</v>
      </c>
      <c r="C221" s="2">
        <v>0.5</v>
      </c>
      <c r="D221" s="2">
        <v>6.46</v>
      </c>
      <c r="E221" s="2">
        <v>0.06</v>
      </c>
      <c r="F221" s="2">
        <v>49.9</v>
      </c>
      <c r="G221" s="3">
        <v>44465.4064868287</v>
      </c>
    </row>
    <row r="222">
      <c r="A222" s="2">
        <v>0.04</v>
      </c>
      <c r="B222" s="2">
        <v>226.8</v>
      </c>
      <c r="C222" s="2">
        <v>0.5</v>
      </c>
      <c r="D222" s="2">
        <v>6.46</v>
      </c>
      <c r="E222" s="2">
        <v>0.06</v>
      </c>
      <c r="F222" s="2">
        <v>49.9</v>
      </c>
      <c r="G222" s="3">
        <v>44465.406588240745</v>
      </c>
    </row>
    <row r="223">
      <c r="A223" s="2">
        <v>0.04</v>
      </c>
      <c r="B223" s="2">
        <v>226.4</v>
      </c>
      <c r="C223" s="2">
        <v>0.5</v>
      </c>
      <c r="D223" s="2">
        <v>6.46</v>
      </c>
      <c r="E223" s="2">
        <v>0.06</v>
      </c>
      <c r="F223" s="2">
        <v>49.9</v>
      </c>
      <c r="G223" s="3">
        <v>44465.40669591435</v>
      </c>
    </row>
    <row r="224">
      <c r="A224" s="2">
        <v>0.04</v>
      </c>
      <c r="B224" s="2">
        <v>226.4</v>
      </c>
      <c r="C224" s="2">
        <v>0.5</v>
      </c>
      <c r="D224" s="2">
        <v>6.46</v>
      </c>
      <c r="E224" s="2">
        <v>0.06</v>
      </c>
      <c r="F224" s="2">
        <v>49.9</v>
      </c>
      <c r="G224" s="3">
        <v>44465.40680678241</v>
      </c>
    </row>
    <row r="225">
      <c r="A225" s="2">
        <v>0.04</v>
      </c>
      <c r="B225" s="2">
        <v>226.4</v>
      </c>
      <c r="C225" s="2">
        <v>0.6</v>
      </c>
      <c r="D225" s="2">
        <v>6.46</v>
      </c>
      <c r="E225" s="2">
        <v>0.07</v>
      </c>
      <c r="F225" s="2">
        <v>50.0</v>
      </c>
      <c r="G225" s="3">
        <v>44465.40691331019</v>
      </c>
    </row>
    <row r="226">
      <c r="A226" s="2">
        <v>0.04</v>
      </c>
      <c r="B226" s="2">
        <v>225.8</v>
      </c>
      <c r="C226" s="2">
        <v>0.5</v>
      </c>
      <c r="D226" s="2">
        <v>6.46</v>
      </c>
      <c r="E226" s="2">
        <v>0.06</v>
      </c>
      <c r="F226" s="2">
        <v>49.9</v>
      </c>
      <c r="G226" s="3">
        <v>44465.407016400466</v>
      </c>
    </row>
    <row r="227">
      <c r="A227" s="2">
        <v>0.04</v>
      </c>
      <c r="B227" s="2">
        <v>225.7</v>
      </c>
      <c r="C227" s="2">
        <v>0.6</v>
      </c>
      <c r="D227" s="2">
        <v>6.46</v>
      </c>
      <c r="E227" s="2">
        <v>0.07</v>
      </c>
      <c r="F227" s="2">
        <v>49.9</v>
      </c>
      <c r="G227" s="3">
        <v>44465.4071257176</v>
      </c>
    </row>
    <row r="228">
      <c r="A228" s="2">
        <v>0.04</v>
      </c>
      <c r="B228" s="2">
        <v>225.8</v>
      </c>
      <c r="C228" s="2">
        <v>0.5</v>
      </c>
      <c r="D228" s="2">
        <v>6.46</v>
      </c>
      <c r="E228" s="2">
        <v>0.06</v>
      </c>
      <c r="F228" s="2">
        <v>49.9</v>
      </c>
      <c r="G228" s="3">
        <v>44465.407231053236</v>
      </c>
    </row>
    <row r="229">
      <c r="A229" s="2">
        <v>0.04</v>
      </c>
      <c r="B229" s="2">
        <v>226.0</v>
      </c>
      <c r="C229" s="2">
        <v>0.5</v>
      </c>
      <c r="D229" s="2">
        <v>6.46</v>
      </c>
      <c r="E229" s="2">
        <v>0.06</v>
      </c>
      <c r="F229" s="2">
        <v>49.9</v>
      </c>
      <c r="G229" s="3">
        <v>44465.407338715275</v>
      </c>
    </row>
    <row r="230">
      <c r="A230" s="2">
        <v>0.04</v>
      </c>
      <c r="B230" s="2">
        <v>225.9</v>
      </c>
      <c r="C230" s="2">
        <v>0.5</v>
      </c>
      <c r="D230" s="2">
        <v>6.46</v>
      </c>
      <c r="E230" s="2">
        <v>0.06</v>
      </c>
      <c r="F230" s="2">
        <v>49.9</v>
      </c>
      <c r="G230" s="3">
        <v>44465.40745263889</v>
      </c>
    </row>
    <row r="231">
      <c r="A231" s="2">
        <v>0.04</v>
      </c>
      <c r="B231" s="2">
        <v>226.0</v>
      </c>
      <c r="C231" s="2">
        <v>0.5</v>
      </c>
      <c r="D231" s="2">
        <v>6.46</v>
      </c>
      <c r="E231" s="2">
        <v>0.06</v>
      </c>
      <c r="F231" s="2">
        <v>50.0</v>
      </c>
      <c r="G231" s="3">
        <v>44465.40756211805</v>
      </c>
    </row>
    <row r="232">
      <c r="A232" s="2">
        <v>0.04</v>
      </c>
      <c r="B232" s="2">
        <v>226.1</v>
      </c>
      <c r="C232" s="2">
        <v>0.5</v>
      </c>
      <c r="D232" s="2">
        <v>6.46</v>
      </c>
      <c r="E232" s="2">
        <v>0.06</v>
      </c>
      <c r="F232" s="2">
        <v>50.0</v>
      </c>
      <c r="G232" s="3">
        <v>44465.407665046296</v>
      </c>
    </row>
    <row r="233">
      <c r="A233" s="2">
        <v>0.04</v>
      </c>
      <c r="B233" s="2">
        <v>226.2</v>
      </c>
      <c r="C233" s="2">
        <v>0.5</v>
      </c>
      <c r="D233" s="2">
        <v>6.46</v>
      </c>
      <c r="E233" s="2">
        <v>0.06</v>
      </c>
      <c r="F233" s="2">
        <v>50.0</v>
      </c>
      <c r="G233" s="3">
        <v>44465.40776667824</v>
      </c>
    </row>
    <row r="234">
      <c r="A234" s="2">
        <v>0.04</v>
      </c>
      <c r="B234" s="2">
        <v>226.2</v>
      </c>
      <c r="C234" s="2">
        <v>0.5</v>
      </c>
      <c r="D234" s="2">
        <v>6.46</v>
      </c>
      <c r="E234" s="2">
        <v>0.06</v>
      </c>
      <c r="F234" s="2">
        <v>50.0</v>
      </c>
      <c r="G234" s="3">
        <v>44465.40787997685</v>
      </c>
    </row>
    <row r="235">
      <c r="A235" s="2">
        <v>0.04</v>
      </c>
      <c r="B235" s="2">
        <v>226.4</v>
      </c>
      <c r="C235" s="2">
        <v>0.5</v>
      </c>
      <c r="D235" s="2">
        <v>6.46</v>
      </c>
      <c r="E235" s="2">
        <v>0.06</v>
      </c>
      <c r="F235" s="2">
        <v>50.0</v>
      </c>
      <c r="G235" s="3">
        <v>44465.407984108795</v>
      </c>
    </row>
    <row r="236">
      <c r="A236" s="2">
        <v>0.04</v>
      </c>
      <c r="B236" s="2">
        <v>226.4</v>
      </c>
      <c r="C236" s="2">
        <v>0.5</v>
      </c>
      <c r="D236" s="2">
        <v>6.46</v>
      </c>
      <c r="E236" s="2">
        <v>0.06</v>
      </c>
      <c r="F236" s="2">
        <v>50.0</v>
      </c>
      <c r="G236" s="3">
        <v>44465.40809013889</v>
      </c>
    </row>
    <row r="237">
      <c r="A237" s="2">
        <v>0.04</v>
      </c>
      <c r="B237" s="2">
        <v>226.4</v>
      </c>
      <c r="C237" s="2">
        <v>0.5</v>
      </c>
      <c r="D237" s="2">
        <v>6.46</v>
      </c>
      <c r="E237" s="2">
        <v>0.06</v>
      </c>
      <c r="F237" s="2">
        <v>50.0</v>
      </c>
      <c r="G237" s="3">
        <v>44465.40819469908</v>
      </c>
    </row>
    <row r="238">
      <c r="A238" s="2">
        <v>0.04</v>
      </c>
      <c r="B238" s="2">
        <v>227.1</v>
      </c>
      <c r="C238" s="2">
        <v>0.5</v>
      </c>
      <c r="D238" s="2">
        <v>6.46</v>
      </c>
      <c r="E238" s="2">
        <v>0.06</v>
      </c>
      <c r="F238" s="2">
        <v>50.0</v>
      </c>
      <c r="G238" s="3">
        <v>44465.40829827546</v>
      </c>
    </row>
    <row r="239">
      <c r="A239" s="2">
        <v>0.04</v>
      </c>
      <c r="B239" s="2">
        <v>226.9</v>
      </c>
      <c r="C239" s="2">
        <v>0.5</v>
      </c>
      <c r="D239" s="2">
        <v>6.46</v>
      </c>
      <c r="E239" s="2">
        <v>0.06</v>
      </c>
      <c r="F239" s="2">
        <v>49.9</v>
      </c>
      <c r="G239" s="3">
        <v>44465.40840059028</v>
      </c>
    </row>
    <row r="240">
      <c r="A240" s="2">
        <v>0.04</v>
      </c>
      <c r="B240" s="2">
        <v>226.8</v>
      </c>
      <c r="C240" s="2">
        <v>0.6</v>
      </c>
      <c r="D240" s="2">
        <v>6.46</v>
      </c>
      <c r="E240" s="2">
        <v>0.07</v>
      </c>
      <c r="F240" s="2">
        <v>49.9</v>
      </c>
      <c r="G240" s="3">
        <v>44465.408503136576</v>
      </c>
    </row>
    <row r="241">
      <c r="A241" s="2">
        <v>0.04</v>
      </c>
      <c r="B241" s="2">
        <v>227.1</v>
      </c>
      <c r="C241" s="2">
        <v>0.5</v>
      </c>
      <c r="D241" s="2">
        <v>6.46</v>
      </c>
      <c r="E241" s="2">
        <v>0.06</v>
      </c>
      <c r="F241" s="2">
        <v>49.9</v>
      </c>
      <c r="G241" s="3">
        <v>44465.40860362268</v>
      </c>
    </row>
    <row r="242">
      <c r="A242" s="2">
        <v>0.04</v>
      </c>
      <c r="B242" s="2">
        <v>227.0</v>
      </c>
      <c r="C242" s="2">
        <v>0.5</v>
      </c>
      <c r="D242" s="2">
        <v>6.46</v>
      </c>
      <c r="E242" s="2">
        <v>0.06</v>
      </c>
      <c r="F242" s="2">
        <v>49.9</v>
      </c>
      <c r="G242" s="3">
        <v>44465.408702291665</v>
      </c>
    </row>
    <row r="243">
      <c r="A243" s="2">
        <v>0.04</v>
      </c>
      <c r="B243" s="2">
        <v>226.7</v>
      </c>
      <c r="C243" s="2">
        <v>0.5</v>
      </c>
      <c r="D243" s="2">
        <v>6.46</v>
      </c>
      <c r="E243" s="2">
        <v>0.06</v>
      </c>
      <c r="F243" s="2">
        <v>49.9</v>
      </c>
      <c r="G243" s="3">
        <v>44465.408802314814</v>
      </c>
    </row>
    <row r="244">
      <c r="A244" s="2">
        <v>0.04</v>
      </c>
      <c r="B244" s="2">
        <v>226.3</v>
      </c>
      <c r="C244" s="2">
        <v>0.5</v>
      </c>
      <c r="D244" s="2">
        <v>6.46</v>
      </c>
      <c r="E244" s="2">
        <v>0.06</v>
      </c>
      <c r="F244" s="2">
        <v>49.9</v>
      </c>
      <c r="G244" s="3">
        <v>44465.4089095949</v>
      </c>
    </row>
    <row r="245">
      <c r="A245" s="2">
        <v>0.04</v>
      </c>
      <c r="B245" s="2">
        <v>226.8</v>
      </c>
      <c r="C245" s="2">
        <v>0.5</v>
      </c>
      <c r="D245" s="2">
        <v>6.46</v>
      </c>
      <c r="E245" s="2">
        <v>0.06</v>
      </c>
      <c r="F245" s="2">
        <v>49.9</v>
      </c>
      <c r="G245" s="3">
        <v>44465.40901582176</v>
      </c>
    </row>
    <row r="246">
      <c r="A246" s="2">
        <v>0.04</v>
      </c>
      <c r="B246" s="2">
        <v>226.7</v>
      </c>
      <c r="C246" s="2">
        <v>0.5</v>
      </c>
      <c r="D246" s="2">
        <v>6.46</v>
      </c>
      <c r="E246" s="2">
        <v>0.06</v>
      </c>
      <c r="F246" s="2">
        <v>49.9</v>
      </c>
      <c r="G246" s="3">
        <v>44465.409116423616</v>
      </c>
    </row>
    <row r="247">
      <c r="A247" s="2">
        <v>0.04</v>
      </c>
      <c r="B247" s="2">
        <v>226.4</v>
      </c>
      <c r="C247" s="2">
        <v>0.5</v>
      </c>
      <c r="D247" s="2">
        <v>6.46</v>
      </c>
      <c r="E247" s="2">
        <v>0.06</v>
      </c>
      <c r="F247" s="2">
        <v>50.0</v>
      </c>
      <c r="G247" s="3">
        <v>44465.40922236111</v>
      </c>
    </row>
    <row r="248">
      <c r="A248" s="2">
        <v>0.04</v>
      </c>
      <c r="B248" s="2">
        <v>226.3</v>
      </c>
      <c r="C248" s="2">
        <v>0.6</v>
      </c>
      <c r="D248" s="2">
        <v>6.46</v>
      </c>
      <c r="E248" s="2">
        <v>0.07</v>
      </c>
      <c r="F248" s="2">
        <v>49.9</v>
      </c>
      <c r="G248" s="3">
        <v>44465.40932972222</v>
      </c>
    </row>
    <row r="249">
      <c r="A249" s="2">
        <v>0.04</v>
      </c>
      <c r="B249" s="2">
        <v>227.0</v>
      </c>
      <c r="C249" s="2">
        <v>0.6</v>
      </c>
      <c r="D249" s="2">
        <v>6.46</v>
      </c>
      <c r="E249" s="2">
        <v>0.07</v>
      </c>
      <c r="F249" s="2">
        <v>50.0</v>
      </c>
      <c r="G249" s="3">
        <v>44465.40943547453</v>
      </c>
    </row>
    <row r="250">
      <c r="A250" s="2">
        <v>0.04</v>
      </c>
      <c r="B250" s="2">
        <v>227.3</v>
      </c>
      <c r="C250" s="2">
        <v>0.5</v>
      </c>
      <c r="D250" s="2">
        <v>6.46</v>
      </c>
      <c r="E250" s="2">
        <v>0.06</v>
      </c>
      <c r="F250" s="2">
        <v>49.9</v>
      </c>
      <c r="G250" s="3">
        <v>44465.409541817135</v>
      </c>
    </row>
    <row r="251">
      <c r="A251" s="2">
        <v>0.04</v>
      </c>
      <c r="B251" s="2">
        <v>227.3</v>
      </c>
      <c r="C251" s="2">
        <v>0.5</v>
      </c>
      <c r="D251" s="2">
        <v>6.46</v>
      </c>
      <c r="E251" s="2">
        <v>0.06</v>
      </c>
      <c r="F251" s="2">
        <v>49.9</v>
      </c>
      <c r="G251" s="3">
        <v>44465.409646782406</v>
      </c>
    </row>
    <row r="252">
      <c r="A252" s="2">
        <v>0.04</v>
      </c>
      <c r="B252" s="2">
        <v>227.2</v>
      </c>
      <c r="C252" s="2">
        <v>0.5</v>
      </c>
      <c r="D252" s="2">
        <v>6.46</v>
      </c>
      <c r="E252" s="2">
        <v>0.06</v>
      </c>
      <c r="F252" s="2">
        <v>49.9</v>
      </c>
      <c r="G252" s="3">
        <v>44465.40989332176</v>
      </c>
    </row>
    <row r="253">
      <c r="A253" s="2">
        <v>0.04</v>
      </c>
      <c r="B253" s="2">
        <v>226.6</v>
      </c>
      <c r="C253" s="2">
        <v>0.5</v>
      </c>
      <c r="D253" s="2">
        <v>6.46</v>
      </c>
      <c r="E253" s="2">
        <v>0.06</v>
      </c>
      <c r="F253" s="2">
        <v>49.9</v>
      </c>
      <c r="G253" s="3">
        <v>44465.41009065972</v>
      </c>
    </row>
    <row r="254">
      <c r="A254" s="2">
        <v>0.04</v>
      </c>
      <c r="B254" s="2">
        <v>226.3</v>
      </c>
      <c r="C254" s="2">
        <v>0.5</v>
      </c>
      <c r="D254" s="2">
        <v>6.46</v>
      </c>
      <c r="E254" s="2">
        <v>0.06</v>
      </c>
      <c r="F254" s="2">
        <v>50.0</v>
      </c>
      <c r="G254" s="3">
        <v>44465.410193668984</v>
      </c>
    </row>
    <row r="255">
      <c r="A255" s="2">
        <v>0.04</v>
      </c>
      <c r="B255" s="2">
        <v>226.5</v>
      </c>
      <c r="C255" s="2">
        <v>0.5</v>
      </c>
      <c r="D255" s="2">
        <v>6.46</v>
      </c>
      <c r="E255" s="2">
        <v>0.06</v>
      </c>
      <c r="F255" s="2">
        <v>49.9</v>
      </c>
      <c r="G255" s="3">
        <v>44465.410297407405</v>
      </c>
    </row>
    <row r="256">
      <c r="A256" s="2">
        <v>0.04</v>
      </c>
      <c r="B256" s="2">
        <v>226.5</v>
      </c>
      <c r="C256" s="2">
        <v>0.5</v>
      </c>
      <c r="D256" s="2">
        <v>6.46</v>
      </c>
      <c r="E256" s="2">
        <v>0.06</v>
      </c>
      <c r="F256" s="2">
        <v>49.9</v>
      </c>
      <c r="G256" s="3">
        <v>44465.41040097222</v>
      </c>
    </row>
    <row r="257">
      <c r="A257" s="2">
        <v>0.04</v>
      </c>
      <c r="B257" s="2">
        <v>226.6</v>
      </c>
      <c r="C257" s="2">
        <v>0.5</v>
      </c>
      <c r="D257" s="2">
        <v>6.46</v>
      </c>
      <c r="E257" s="2">
        <v>0.06</v>
      </c>
      <c r="F257" s="2">
        <v>49.9</v>
      </c>
      <c r="G257" s="3">
        <v>44465.41050133102</v>
      </c>
    </row>
    <row r="258">
      <c r="A258" s="2">
        <v>0.04</v>
      </c>
      <c r="B258" s="2">
        <v>226.4</v>
      </c>
      <c r="C258" s="2">
        <v>0.5</v>
      </c>
      <c r="D258" s="2">
        <v>6.46</v>
      </c>
      <c r="E258" s="2">
        <v>0.06</v>
      </c>
      <c r="F258" s="2">
        <v>50.0</v>
      </c>
      <c r="G258" s="3">
        <v>44465.41069396991</v>
      </c>
    </row>
    <row r="259">
      <c r="A259" s="2">
        <v>0.04</v>
      </c>
      <c r="B259" s="2">
        <v>226.5</v>
      </c>
      <c r="C259" s="2">
        <v>0.5</v>
      </c>
      <c r="D259" s="2">
        <v>6.46</v>
      </c>
      <c r="E259" s="2">
        <v>0.06</v>
      </c>
      <c r="F259" s="2">
        <v>50.0</v>
      </c>
      <c r="G259" s="3">
        <v>44465.410861006945</v>
      </c>
    </row>
    <row r="260">
      <c r="A260" s="2">
        <v>0.04</v>
      </c>
      <c r="B260" s="2">
        <v>226.5</v>
      </c>
      <c r="C260" s="2">
        <v>0.5</v>
      </c>
      <c r="D260" s="2">
        <v>6.46</v>
      </c>
      <c r="E260" s="2">
        <v>0.06</v>
      </c>
      <c r="F260" s="2">
        <v>50.0</v>
      </c>
      <c r="G260" s="3">
        <v>44465.41096461806</v>
      </c>
    </row>
    <row r="261">
      <c r="A261" s="2">
        <v>0.04</v>
      </c>
      <c r="B261" s="2">
        <v>226.3</v>
      </c>
      <c r="C261" s="2">
        <v>0.5</v>
      </c>
      <c r="D261" s="2">
        <v>6.46</v>
      </c>
      <c r="E261" s="2">
        <v>0.06</v>
      </c>
      <c r="F261" s="2">
        <v>50.0</v>
      </c>
      <c r="G261" s="3">
        <v>44465.41107082176</v>
      </c>
    </row>
    <row r="262">
      <c r="A262" s="2">
        <v>0.04</v>
      </c>
      <c r="B262" s="2">
        <v>226.5</v>
      </c>
      <c r="C262" s="2">
        <v>0.5</v>
      </c>
      <c r="D262" s="2">
        <v>6.46</v>
      </c>
      <c r="E262" s="2">
        <v>0.06</v>
      </c>
      <c r="F262" s="2">
        <v>50.0</v>
      </c>
      <c r="G262" s="3">
        <v>44465.411175625</v>
      </c>
    </row>
    <row r="263">
      <c r="A263" s="2">
        <v>0.04</v>
      </c>
      <c r="B263" s="2">
        <v>226.5</v>
      </c>
      <c r="C263" s="2">
        <v>0.5</v>
      </c>
      <c r="D263" s="2">
        <v>6.46</v>
      </c>
      <c r="E263" s="2">
        <v>0.06</v>
      </c>
      <c r="F263" s="2">
        <v>50.0</v>
      </c>
      <c r="G263" s="3">
        <v>44465.411279293985</v>
      </c>
    </row>
    <row r="264">
      <c r="A264" s="2">
        <v>0.04</v>
      </c>
      <c r="B264" s="2">
        <v>226.6</v>
      </c>
      <c r="C264" s="2">
        <v>0.6</v>
      </c>
      <c r="D264" s="2">
        <v>6.46</v>
      </c>
      <c r="E264" s="2">
        <v>0.07</v>
      </c>
      <c r="F264" s="2">
        <v>50.0</v>
      </c>
      <c r="G264" s="3">
        <v>44465.411386990745</v>
      </c>
    </row>
    <row r="265">
      <c r="A265" s="2">
        <v>0.04</v>
      </c>
      <c r="B265" s="2">
        <v>226.6</v>
      </c>
      <c r="C265" s="2">
        <v>0.5</v>
      </c>
      <c r="D265" s="2">
        <v>6.46</v>
      </c>
      <c r="E265" s="2">
        <v>0.06</v>
      </c>
      <c r="F265" s="2">
        <v>50.0</v>
      </c>
      <c r="G265" s="3">
        <v>44465.411537719905</v>
      </c>
    </row>
    <row r="266">
      <c r="A266" s="2">
        <v>0.04</v>
      </c>
      <c r="B266" s="2">
        <v>226.6</v>
      </c>
      <c r="C266" s="2">
        <v>0.5</v>
      </c>
      <c r="D266" s="2">
        <v>6.46</v>
      </c>
      <c r="E266" s="2">
        <v>0.06</v>
      </c>
      <c r="F266" s="2">
        <v>50.0</v>
      </c>
      <c r="G266" s="3">
        <v>44465.41164755787</v>
      </c>
    </row>
    <row r="267">
      <c r="A267" s="2">
        <v>0.04</v>
      </c>
      <c r="B267" s="2">
        <v>226.5</v>
      </c>
      <c r="C267" s="2">
        <v>0.5</v>
      </c>
      <c r="D267" s="2">
        <v>6.46</v>
      </c>
      <c r="E267" s="2">
        <v>0.06</v>
      </c>
      <c r="F267" s="2">
        <v>50.0</v>
      </c>
      <c r="G267" s="3">
        <v>44465.411752534725</v>
      </c>
    </row>
    <row r="268">
      <c r="A268" s="2">
        <v>0.04</v>
      </c>
      <c r="B268" s="2">
        <v>226.5</v>
      </c>
      <c r="C268" s="2">
        <v>0.6</v>
      </c>
      <c r="D268" s="2">
        <v>6.46</v>
      </c>
      <c r="E268" s="2">
        <v>0.07</v>
      </c>
      <c r="F268" s="2">
        <v>50.0</v>
      </c>
      <c r="G268" s="3">
        <v>44465.4118580787</v>
      </c>
    </row>
    <row r="269">
      <c r="A269" s="2">
        <v>0.04</v>
      </c>
      <c r="B269" s="2">
        <v>226.5</v>
      </c>
      <c r="C269" s="2">
        <v>0.6</v>
      </c>
      <c r="D269" s="2">
        <v>6.46</v>
      </c>
      <c r="E269" s="2">
        <v>0.07</v>
      </c>
      <c r="F269" s="2">
        <v>50.0</v>
      </c>
      <c r="G269" s="3">
        <v>44465.41204570602</v>
      </c>
    </row>
    <row r="270">
      <c r="A270" s="2">
        <v>0.04</v>
      </c>
      <c r="B270" s="2">
        <v>226.9</v>
      </c>
      <c r="C270" s="2">
        <v>0.5</v>
      </c>
      <c r="D270" s="2">
        <v>6.46</v>
      </c>
      <c r="E270" s="2">
        <v>0.06</v>
      </c>
      <c r="F270" s="2">
        <v>50.0</v>
      </c>
      <c r="G270" s="3">
        <v>44465.41216024305</v>
      </c>
    </row>
    <row r="271">
      <c r="A271" s="2">
        <v>0.04</v>
      </c>
      <c r="B271" s="2">
        <v>226.9</v>
      </c>
      <c r="C271" s="2">
        <v>0.5</v>
      </c>
      <c r="D271" s="2">
        <v>6.46</v>
      </c>
      <c r="E271" s="2">
        <v>0.06</v>
      </c>
      <c r="F271" s="2">
        <v>50.0</v>
      </c>
      <c r="G271" s="3">
        <v>44465.412455115744</v>
      </c>
    </row>
    <row r="272">
      <c r="A272" s="2">
        <v>0.04</v>
      </c>
      <c r="B272" s="2">
        <v>226.4</v>
      </c>
      <c r="C272" s="2">
        <v>0.5</v>
      </c>
      <c r="D272" s="2">
        <v>6.46</v>
      </c>
      <c r="E272" s="2">
        <v>0.06</v>
      </c>
      <c r="F272" s="2">
        <v>50.0</v>
      </c>
      <c r="G272" s="3">
        <v>44465.412580358796</v>
      </c>
    </row>
    <row r="273">
      <c r="A273" s="2">
        <v>0.04</v>
      </c>
      <c r="B273" s="2">
        <v>226.4</v>
      </c>
      <c r="C273" s="2">
        <v>0.5</v>
      </c>
      <c r="D273" s="2">
        <v>6.46</v>
      </c>
      <c r="E273" s="2">
        <v>0.06</v>
      </c>
      <c r="F273" s="2">
        <v>50.0</v>
      </c>
      <c r="G273" s="3">
        <v>44465.412684201394</v>
      </c>
    </row>
    <row r="274">
      <c r="A274" s="2">
        <v>0.04</v>
      </c>
      <c r="B274" s="2">
        <v>226.4</v>
      </c>
      <c r="C274" s="2">
        <v>0.5</v>
      </c>
      <c r="D274" s="2">
        <v>6.46</v>
      </c>
      <c r="E274" s="2">
        <v>0.06</v>
      </c>
      <c r="F274" s="2">
        <v>49.9</v>
      </c>
      <c r="G274" s="3">
        <v>44465.41296619213</v>
      </c>
    </row>
    <row r="275">
      <c r="A275" s="2">
        <v>0.04</v>
      </c>
      <c r="B275" s="2">
        <v>226.4</v>
      </c>
      <c r="C275" s="2">
        <v>0.6</v>
      </c>
      <c r="D275" s="2">
        <v>6.46</v>
      </c>
      <c r="E275" s="2">
        <v>0.07</v>
      </c>
      <c r="F275" s="2">
        <v>50.0</v>
      </c>
      <c r="G275" s="3">
        <v>44465.41309611111</v>
      </c>
    </row>
    <row r="276">
      <c r="A276" s="2">
        <v>0.04</v>
      </c>
      <c r="B276" s="2">
        <v>226.3</v>
      </c>
      <c r="C276" s="2">
        <v>0.5</v>
      </c>
      <c r="D276" s="2">
        <v>6.46</v>
      </c>
      <c r="E276" s="2">
        <v>0.06</v>
      </c>
      <c r="F276" s="2">
        <v>49.9</v>
      </c>
      <c r="G276" s="3">
        <v>44465.413200787036</v>
      </c>
    </row>
    <row r="277">
      <c r="A277" s="2">
        <v>0.04</v>
      </c>
      <c r="B277" s="2">
        <v>226.3</v>
      </c>
      <c r="C277" s="2">
        <v>0.5</v>
      </c>
      <c r="D277" s="2">
        <v>6.46</v>
      </c>
      <c r="E277" s="2">
        <v>0.06</v>
      </c>
      <c r="F277" s="2">
        <v>49.9</v>
      </c>
      <c r="G277" s="3">
        <v>44465.413314791665</v>
      </c>
    </row>
    <row r="278">
      <c r="A278" s="2">
        <v>0.04</v>
      </c>
      <c r="B278" s="2">
        <v>226.2</v>
      </c>
      <c r="C278" s="2">
        <v>0.5</v>
      </c>
      <c r="D278" s="2">
        <v>6.46</v>
      </c>
      <c r="E278" s="2">
        <v>0.06</v>
      </c>
      <c r="F278" s="2">
        <v>49.9</v>
      </c>
      <c r="G278" s="3">
        <v>44465.413422604164</v>
      </c>
    </row>
    <row r="279">
      <c r="A279" s="2">
        <v>0.04</v>
      </c>
      <c r="B279" s="2">
        <v>226.5</v>
      </c>
      <c r="C279" s="2">
        <v>0.5</v>
      </c>
      <c r="D279" s="2">
        <v>6.46</v>
      </c>
      <c r="E279" s="2">
        <v>0.06</v>
      </c>
      <c r="F279" s="2">
        <v>49.9</v>
      </c>
      <c r="G279" s="3">
        <v>44465.41353041667</v>
      </c>
    </row>
    <row r="280">
      <c r="A280" s="2">
        <v>0.04</v>
      </c>
      <c r="B280" s="2">
        <v>226.7</v>
      </c>
      <c r="C280" s="2">
        <v>0.5</v>
      </c>
      <c r="D280" s="2">
        <v>6.46</v>
      </c>
      <c r="E280" s="2">
        <v>0.06</v>
      </c>
      <c r="F280" s="2">
        <v>49.9</v>
      </c>
      <c r="G280" s="3">
        <v>44465.413640046296</v>
      </c>
    </row>
    <row r="281">
      <c r="A281" s="2">
        <v>0.04</v>
      </c>
      <c r="B281" s="2">
        <v>226.4</v>
      </c>
      <c r="C281" s="2">
        <v>0.5</v>
      </c>
      <c r="D281" s="2">
        <v>6.46</v>
      </c>
      <c r="E281" s="2">
        <v>0.06</v>
      </c>
      <c r="F281" s="2">
        <v>49.9</v>
      </c>
      <c r="G281" s="3">
        <v>44465.4137490625</v>
      </c>
    </row>
    <row r="282">
      <c r="A282" s="2">
        <v>0.04</v>
      </c>
      <c r="B282" s="2">
        <v>226.7</v>
      </c>
      <c r="C282" s="2">
        <v>0.5</v>
      </c>
      <c r="D282" s="2">
        <v>6.46</v>
      </c>
      <c r="E282" s="2">
        <v>0.06</v>
      </c>
      <c r="F282" s="2">
        <v>50.0</v>
      </c>
      <c r="G282" s="3">
        <v>44465.4138555324</v>
      </c>
    </row>
    <row r="283">
      <c r="A283" s="2">
        <v>0.04</v>
      </c>
      <c r="B283" s="2">
        <v>226.6</v>
      </c>
      <c r="C283" s="2">
        <v>0.5</v>
      </c>
      <c r="D283" s="2">
        <v>6.46</v>
      </c>
      <c r="E283" s="2">
        <v>0.06</v>
      </c>
      <c r="F283" s="2">
        <v>50.0</v>
      </c>
      <c r="G283" s="3">
        <v>44465.41395642361</v>
      </c>
    </row>
    <row r="284">
      <c r="A284" s="2">
        <v>0.04</v>
      </c>
      <c r="B284" s="2">
        <v>226.4</v>
      </c>
      <c r="C284" s="2">
        <v>0.5</v>
      </c>
      <c r="D284" s="2">
        <v>6.46</v>
      </c>
      <c r="E284" s="2">
        <v>0.06</v>
      </c>
      <c r="F284" s="2">
        <v>50.0</v>
      </c>
      <c r="G284" s="3">
        <v>44465.41406386574</v>
      </c>
    </row>
    <row r="285">
      <c r="A285" s="2">
        <v>0.04</v>
      </c>
      <c r="B285" s="2">
        <v>226.7</v>
      </c>
      <c r="C285" s="2">
        <v>0.5</v>
      </c>
      <c r="D285" s="2">
        <v>6.46</v>
      </c>
      <c r="E285" s="2">
        <v>0.06</v>
      </c>
      <c r="F285" s="2">
        <v>50.0</v>
      </c>
      <c r="G285" s="3">
        <v>44465.41417261574</v>
      </c>
    </row>
    <row r="286">
      <c r="A286" s="2">
        <v>0.04</v>
      </c>
      <c r="B286" s="2">
        <v>226.7</v>
      </c>
      <c r="C286" s="2">
        <v>0.5</v>
      </c>
      <c r="D286" s="2">
        <v>6.46</v>
      </c>
      <c r="E286" s="2">
        <v>0.06</v>
      </c>
      <c r="F286" s="2">
        <v>50.0</v>
      </c>
      <c r="G286" s="3">
        <v>44465.4142784375</v>
      </c>
    </row>
    <row r="287">
      <c r="A287" s="2">
        <v>0.04</v>
      </c>
      <c r="B287" s="2">
        <v>226.7</v>
      </c>
      <c r="C287" s="2">
        <v>0.5</v>
      </c>
      <c r="D287" s="2">
        <v>6.46</v>
      </c>
      <c r="E287" s="2">
        <v>0.06</v>
      </c>
      <c r="F287" s="2">
        <v>50.0</v>
      </c>
      <c r="G287" s="3">
        <v>44465.41438318287</v>
      </c>
    </row>
    <row r="288">
      <c r="A288" s="2">
        <v>0.04</v>
      </c>
      <c r="B288" s="2">
        <v>227.1</v>
      </c>
      <c r="C288" s="2">
        <v>0.5</v>
      </c>
      <c r="D288" s="2">
        <v>6.46</v>
      </c>
      <c r="E288" s="2">
        <v>0.06</v>
      </c>
      <c r="F288" s="2">
        <v>50.0</v>
      </c>
      <c r="G288" s="3">
        <v>44465.41448559028</v>
      </c>
    </row>
    <row r="289">
      <c r="A289" s="2">
        <v>0.04</v>
      </c>
      <c r="B289" s="2">
        <v>227.0</v>
      </c>
      <c r="C289" s="2">
        <v>0.5</v>
      </c>
      <c r="D289" s="2">
        <v>6.46</v>
      </c>
      <c r="E289" s="2">
        <v>0.06</v>
      </c>
      <c r="F289" s="2">
        <v>50.0</v>
      </c>
      <c r="G289" s="3">
        <v>44465.414589618056</v>
      </c>
    </row>
    <row r="290">
      <c r="A290" s="2">
        <v>0.04</v>
      </c>
      <c r="B290" s="2">
        <v>227.2</v>
      </c>
      <c r="C290" s="2">
        <v>0.5</v>
      </c>
      <c r="D290" s="2">
        <v>6.46</v>
      </c>
      <c r="E290" s="2">
        <v>0.06</v>
      </c>
      <c r="F290" s="2">
        <v>49.9</v>
      </c>
      <c r="G290" s="3">
        <v>44465.41469278935</v>
      </c>
    </row>
    <row r="291">
      <c r="A291" s="2">
        <v>0.04</v>
      </c>
      <c r="B291" s="2">
        <v>226.9</v>
      </c>
      <c r="C291" s="2">
        <v>0.5</v>
      </c>
      <c r="D291" s="2">
        <v>6.46</v>
      </c>
      <c r="E291" s="2">
        <v>0.06</v>
      </c>
      <c r="F291" s="2">
        <v>49.9</v>
      </c>
      <c r="G291" s="3">
        <v>44465.41479616898</v>
      </c>
    </row>
    <row r="292">
      <c r="A292" s="2">
        <v>0.04</v>
      </c>
      <c r="B292" s="2">
        <v>227.1</v>
      </c>
      <c r="C292" s="2">
        <v>0.5</v>
      </c>
      <c r="D292" s="2">
        <v>6.46</v>
      </c>
      <c r="E292" s="2">
        <v>0.06</v>
      </c>
      <c r="F292" s="2">
        <v>50.0</v>
      </c>
      <c r="G292" s="3">
        <v>44465.41490083333</v>
      </c>
    </row>
    <row r="293">
      <c r="A293" s="2">
        <v>0.04</v>
      </c>
      <c r="B293" s="2">
        <v>227.2</v>
      </c>
      <c r="C293" s="2">
        <v>0.5</v>
      </c>
      <c r="D293" s="2">
        <v>6.46</v>
      </c>
      <c r="E293" s="2">
        <v>0.06</v>
      </c>
      <c r="F293" s="2">
        <v>50.0</v>
      </c>
      <c r="G293" s="3">
        <v>44465.41501002315</v>
      </c>
    </row>
    <row r="294">
      <c r="A294" s="2">
        <v>0.04</v>
      </c>
      <c r="B294" s="2">
        <v>226.9</v>
      </c>
      <c r="C294" s="2">
        <v>0.5</v>
      </c>
      <c r="D294" s="2">
        <v>6.46</v>
      </c>
      <c r="E294" s="2">
        <v>0.06</v>
      </c>
      <c r="F294" s="2">
        <v>50.0</v>
      </c>
      <c r="G294" s="3">
        <v>44465.415119259254</v>
      </c>
    </row>
    <row r="295">
      <c r="A295" s="2">
        <v>0.04</v>
      </c>
      <c r="B295" s="2">
        <v>226.9</v>
      </c>
      <c r="C295" s="2">
        <v>0.5</v>
      </c>
      <c r="D295" s="2">
        <v>6.46</v>
      </c>
      <c r="E295" s="2">
        <v>0.06</v>
      </c>
      <c r="F295" s="2">
        <v>50.0</v>
      </c>
      <c r="G295" s="3">
        <v>44465.415222129624</v>
      </c>
    </row>
    <row r="296">
      <c r="A296" s="2">
        <v>0.04</v>
      </c>
      <c r="B296" s="2">
        <v>227.0</v>
      </c>
      <c r="C296" s="2">
        <v>0.5</v>
      </c>
      <c r="D296" s="2">
        <v>6.46</v>
      </c>
      <c r="E296" s="2">
        <v>0.06</v>
      </c>
      <c r="F296" s="2">
        <v>50.0</v>
      </c>
      <c r="G296" s="3">
        <v>44465.415325</v>
      </c>
    </row>
    <row r="297">
      <c r="A297" s="2">
        <v>0.04</v>
      </c>
      <c r="B297" s="2">
        <v>227.0</v>
      </c>
      <c r="C297" s="2">
        <v>0.5</v>
      </c>
      <c r="D297" s="2">
        <v>6.46</v>
      </c>
      <c r="E297" s="2">
        <v>0.06</v>
      </c>
      <c r="F297" s="2">
        <v>50.0</v>
      </c>
      <c r="G297" s="3">
        <v>44465.41542803241</v>
      </c>
    </row>
    <row r="298">
      <c r="A298" s="2">
        <v>0.04</v>
      </c>
      <c r="B298" s="2">
        <v>226.8</v>
      </c>
      <c r="C298" s="2">
        <v>0.5</v>
      </c>
      <c r="D298" s="2">
        <v>6.46</v>
      </c>
      <c r="E298" s="2">
        <v>0.06</v>
      </c>
      <c r="F298" s="2">
        <v>49.9</v>
      </c>
      <c r="G298" s="3">
        <v>44465.41559628472</v>
      </c>
    </row>
    <row r="299">
      <c r="A299" s="2">
        <v>0.04</v>
      </c>
      <c r="B299" s="2">
        <v>226.8</v>
      </c>
      <c r="C299" s="2">
        <v>0.5</v>
      </c>
      <c r="D299" s="2">
        <v>6.46</v>
      </c>
      <c r="E299" s="2">
        <v>0.06</v>
      </c>
      <c r="F299" s="2">
        <v>50.0</v>
      </c>
      <c r="G299" s="3">
        <v>44465.415925821755</v>
      </c>
    </row>
    <row r="300">
      <c r="A300" s="2">
        <v>0.03</v>
      </c>
      <c r="B300" s="2">
        <v>226.5</v>
      </c>
      <c r="C300" s="2">
        <v>0.0</v>
      </c>
      <c r="D300" s="2">
        <v>6.46</v>
      </c>
      <c r="E300" s="2">
        <v>0.0</v>
      </c>
      <c r="F300" s="2">
        <v>49.9</v>
      </c>
      <c r="G300" s="3">
        <v>44465.416060821764</v>
      </c>
    </row>
    <row r="301">
      <c r="A301" s="2">
        <v>0.05</v>
      </c>
      <c r="B301" s="2">
        <v>229.5</v>
      </c>
      <c r="C301" s="2">
        <v>4.0</v>
      </c>
      <c r="D301" s="2">
        <v>6.46</v>
      </c>
      <c r="E301" s="2">
        <v>0.34</v>
      </c>
      <c r="F301" s="2">
        <v>50.0</v>
      </c>
      <c r="G301" s="3">
        <v>44465.61646689815</v>
      </c>
    </row>
    <row r="302">
      <c r="A302" s="2">
        <v>0.05</v>
      </c>
      <c r="B302" s="2">
        <v>229.5</v>
      </c>
      <c r="C302" s="2">
        <v>4.0</v>
      </c>
      <c r="D302" s="2">
        <v>6.46</v>
      </c>
      <c r="E302" s="2">
        <v>0.34</v>
      </c>
      <c r="F302" s="2">
        <v>50.0</v>
      </c>
      <c r="G302" s="3">
        <v>44465.61652060185</v>
      </c>
    </row>
    <row r="303">
      <c r="A303" s="2">
        <v>0.05</v>
      </c>
      <c r="B303" s="2">
        <v>229.5</v>
      </c>
      <c r="C303" s="2">
        <v>4.0</v>
      </c>
      <c r="D303" s="2">
        <v>6.46</v>
      </c>
      <c r="E303" s="2">
        <v>0.33</v>
      </c>
      <c r="F303" s="2">
        <v>50.0</v>
      </c>
      <c r="G303" s="3">
        <v>44465.61666748843</v>
      </c>
    </row>
    <row r="304">
      <c r="A304" s="2">
        <v>0.05</v>
      </c>
      <c r="B304" s="2">
        <v>229.6</v>
      </c>
      <c r="C304" s="2">
        <v>4.0</v>
      </c>
      <c r="D304" s="2">
        <v>6.46</v>
      </c>
      <c r="E304" s="2">
        <v>0.33</v>
      </c>
      <c r="F304" s="2">
        <v>49.9</v>
      </c>
      <c r="G304" s="3">
        <v>44465.616771851855</v>
      </c>
    </row>
    <row r="305">
      <c r="A305" s="2">
        <v>0.05</v>
      </c>
      <c r="B305" s="2">
        <v>229.5</v>
      </c>
      <c r="C305" s="2">
        <v>4.0</v>
      </c>
      <c r="D305" s="2">
        <v>6.46</v>
      </c>
      <c r="E305" s="2">
        <v>0.33</v>
      </c>
      <c r="F305" s="2">
        <v>49.9</v>
      </c>
      <c r="G305" s="3">
        <v>44465.616881435184</v>
      </c>
    </row>
    <row r="306">
      <c r="A306" s="2">
        <v>0.05</v>
      </c>
      <c r="B306" s="2">
        <v>229.5</v>
      </c>
      <c r="C306" s="2">
        <v>4.0</v>
      </c>
      <c r="D306" s="2">
        <v>6.46</v>
      </c>
      <c r="E306" s="2">
        <v>0.33</v>
      </c>
      <c r="F306" s="2">
        <v>50.0</v>
      </c>
      <c r="G306" s="3">
        <v>44465.61698590278</v>
      </c>
    </row>
    <row r="307">
      <c r="A307" s="2">
        <v>0.05</v>
      </c>
      <c r="B307" s="2">
        <v>229.4</v>
      </c>
      <c r="C307" s="2">
        <v>4.0</v>
      </c>
      <c r="D307" s="2">
        <v>6.46</v>
      </c>
      <c r="E307" s="2">
        <v>0.33</v>
      </c>
      <c r="F307" s="2">
        <v>49.9</v>
      </c>
      <c r="G307" s="3">
        <v>44465.61712321759</v>
      </c>
    </row>
    <row r="308">
      <c r="A308" s="2">
        <v>0.05</v>
      </c>
      <c r="B308" s="2">
        <v>229.5</v>
      </c>
      <c r="C308" s="2">
        <v>4.0</v>
      </c>
      <c r="D308" s="2">
        <v>6.46</v>
      </c>
      <c r="E308" s="2">
        <v>0.34</v>
      </c>
      <c r="F308" s="2">
        <v>49.9</v>
      </c>
      <c r="G308" s="3">
        <v>44465.61723207176</v>
      </c>
    </row>
    <row r="309">
      <c r="A309" s="2">
        <v>0.05</v>
      </c>
      <c r="B309" s="2">
        <v>229.5</v>
      </c>
      <c r="C309" s="2">
        <v>3.5</v>
      </c>
      <c r="D309" s="2">
        <v>6.46</v>
      </c>
      <c r="E309" s="2">
        <v>0.31</v>
      </c>
      <c r="F309" s="2">
        <v>49.9</v>
      </c>
      <c r="G309" s="3">
        <v>44465.61736023148</v>
      </c>
    </row>
    <row r="310">
      <c r="A310" s="2">
        <v>0.04</v>
      </c>
      <c r="B310" s="2">
        <v>229.6</v>
      </c>
      <c r="C310" s="2">
        <v>0.4</v>
      </c>
      <c r="D310" s="2">
        <v>6.46</v>
      </c>
      <c r="E310" s="2">
        <v>0.05</v>
      </c>
      <c r="F310" s="2">
        <v>49.9</v>
      </c>
      <c r="G310" s="3">
        <v>44465.61747008102</v>
      </c>
    </row>
    <row r="311">
      <c r="A311" s="2">
        <v>0.04</v>
      </c>
      <c r="B311" s="2">
        <v>229.4</v>
      </c>
      <c r="C311" s="2">
        <v>0.5</v>
      </c>
      <c r="D311" s="2">
        <v>6.46</v>
      </c>
      <c r="E311" s="2">
        <v>0.06</v>
      </c>
      <c r="F311" s="2">
        <v>49.9</v>
      </c>
      <c r="G311" s="3">
        <v>44465.61757996528</v>
      </c>
    </row>
    <row r="312">
      <c r="A312" s="2">
        <v>0.06</v>
      </c>
      <c r="B312" s="2">
        <v>229.6</v>
      </c>
      <c r="C312" s="2">
        <v>5.3</v>
      </c>
      <c r="D312" s="2">
        <v>6.46</v>
      </c>
      <c r="E312" s="2">
        <v>0.38</v>
      </c>
      <c r="F312" s="2">
        <v>49.9</v>
      </c>
      <c r="G312" s="3">
        <v>44465.61768789352</v>
      </c>
    </row>
    <row r="313">
      <c r="A313" s="2">
        <v>0.04</v>
      </c>
      <c r="B313" s="2">
        <v>229.6</v>
      </c>
      <c r="C313" s="2">
        <v>0.5</v>
      </c>
      <c r="D313" s="2">
        <v>6.46</v>
      </c>
      <c r="E313" s="2">
        <v>0.06</v>
      </c>
      <c r="F313" s="2">
        <v>49.9</v>
      </c>
      <c r="G313" s="3">
        <v>44465.617796631945</v>
      </c>
    </row>
    <row r="314">
      <c r="A314" s="2">
        <v>0.04</v>
      </c>
      <c r="B314" s="2">
        <v>229.7</v>
      </c>
      <c r="C314" s="2">
        <v>0.5</v>
      </c>
      <c r="D314" s="2">
        <v>6.46</v>
      </c>
      <c r="E314" s="2">
        <v>0.06</v>
      </c>
      <c r="F314" s="2">
        <v>49.9</v>
      </c>
      <c r="G314" s="3">
        <v>44465.617901192134</v>
      </c>
    </row>
    <row r="315">
      <c r="A315" s="2">
        <v>0.04</v>
      </c>
      <c r="B315" s="2">
        <v>229.7</v>
      </c>
      <c r="C315" s="2">
        <v>1.8</v>
      </c>
      <c r="D315" s="2">
        <v>6.46</v>
      </c>
      <c r="E315" s="2">
        <v>0.19</v>
      </c>
      <c r="F315" s="2">
        <v>49.9</v>
      </c>
      <c r="G315" s="3">
        <v>44465.61800516203</v>
      </c>
    </row>
    <row r="316">
      <c r="A316" s="2">
        <v>0.04</v>
      </c>
      <c r="B316" s="2">
        <v>229.8</v>
      </c>
      <c r="C316" s="2">
        <v>0.8</v>
      </c>
      <c r="D316" s="2">
        <v>6.46</v>
      </c>
      <c r="E316" s="2">
        <v>0.09</v>
      </c>
      <c r="F316" s="2">
        <v>50.0</v>
      </c>
      <c r="G316" s="3">
        <v>44465.618106828704</v>
      </c>
    </row>
    <row r="317">
      <c r="A317" s="2">
        <v>0.04</v>
      </c>
      <c r="B317" s="2">
        <v>229.6</v>
      </c>
      <c r="C317" s="2">
        <v>1.8</v>
      </c>
      <c r="D317" s="2">
        <v>6.46</v>
      </c>
      <c r="E317" s="2">
        <v>0.19</v>
      </c>
      <c r="F317" s="2">
        <v>50.0</v>
      </c>
      <c r="G317" s="3">
        <v>44465.61821642361</v>
      </c>
    </row>
    <row r="318">
      <c r="A318" s="2">
        <v>0.04</v>
      </c>
      <c r="B318" s="2">
        <v>229.8</v>
      </c>
      <c r="C318" s="2">
        <v>0.4</v>
      </c>
      <c r="D318" s="2">
        <v>6.46</v>
      </c>
      <c r="E318" s="2">
        <v>0.05</v>
      </c>
      <c r="F318" s="2">
        <v>50.0</v>
      </c>
      <c r="G318" s="3">
        <v>44465.618318946756</v>
      </c>
    </row>
    <row r="319">
      <c r="A319" s="2">
        <v>0.07</v>
      </c>
      <c r="B319" s="2">
        <v>230.0</v>
      </c>
      <c r="C319" s="2">
        <v>6.2</v>
      </c>
      <c r="D319" s="2">
        <v>6.46</v>
      </c>
      <c r="E319" s="2">
        <v>0.4</v>
      </c>
      <c r="F319" s="2">
        <v>49.9</v>
      </c>
      <c r="G319" s="3">
        <v>44465.618536712966</v>
      </c>
    </row>
    <row r="320">
      <c r="A320" s="2">
        <v>0.07</v>
      </c>
      <c r="B320" s="2">
        <v>229.9</v>
      </c>
      <c r="C320" s="2">
        <v>6.6</v>
      </c>
      <c r="D320" s="2">
        <v>6.46</v>
      </c>
      <c r="E320" s="2">
        <v>0.41</v>
      </c>
      <c r="F320" s="2">
        <v>49.9</v>
      </c>
      <c r="G320" s="3">
        <v>44465.61863890046</v>
      </c>
    </row>
    <row r="321">
      <c r="A321" s="2">
        <v>0.07</v>
      </c>
      <c r="B321" s="2">
        <v>230.1</v>
      </c>
      <c r="C321" s="2">
        <v>6.1</v>
      </c>
      <c r="D321" s="2">
        <v>6.46</v>
      </c>
      <c r="E321" s="2">
        <v>0.4</v>
      </c>
      <c r="F321" s="2">
        <v>49.9</v>
      </c>
      <c r="G321" s="3">
        <v>44465.618741053244</v>
      </c>
    </row>
    <row r="322">
      <c r="A322" s="2">
        <v>0.07</v>
      </c>
      <c r="B322" s="2">
        <v>229.9</v>
      </c>
      <c r="C322" s="2">
        <v>6.2</v>
      </c>
      <c r="D322" s="2">
        <v>6.46</v>
      </c>
      <c r="E322" s="2">
        <v>0.4</v>
      </c>
      <c r="F322" s="2">
        <v>50.0</v>
      </c>
      <c r="G322" s="3">
        <v>44465.61884549768</v>
      </c>
    </row>
    <row r="323">
      <c r="A323" s="2">
        <v>0.07</v>
      </c>
      <c r="B323" s="2">
        <v>229.7</v>
      </c>
      <c r="C323" s="2">
        <v>6.2</v>
      </c>
      <c r="D323" s="2">
        <v>6.46</v>
      </c>
      <c r="E323" s="2">
        <v>0.4</v>
      </c>
      <c r="F323" s="2">
        <v>49.9</v>
      </c>
      <c r="G323" s="3">
        <v>44465.61894865741</v>
      </c>
    </row>
    <row r="324">
      <c r="A324" s="2">
        <v>0.07</v>
      </c>
      <c r="B324" s="2">
        <v>229.7</v>
      </c>
      <c r="C324" s="2">
        <v>6.2</v>
      </c>
      <c r="D324" s="2">
        <v>6.46</v>
      </c>
      <c r="E324" s="2">
        <v>0.4</v>
      </c>
      <c r="F324" s="2">
        <v>50.0</v>
      </c>
      <c r="G324" s="3">
        <v>44465.619051539354</v>
      </c>
    </row>
    <row r="325">
      <c r="A325" s="2">
        <v>0.07</v>
      </c>
      <c r="B325" s="2">
        <v>229.7</v>
      </c>
      <c r="C325" s="2">
        <v>6.2</v>
      </c>
      <c r="D325" s="2">
        <v>6.46</v>
      </c>
      <c r="E325" s="2">
        <v>0.4</v>
      </c>
      <c r="F325" s="2">
        <v>49.9</v>
      </c>
      <c r="G325" s="3">
        <v>44465.61915416666</v>
      </c>
    </row>
    <row r="326">
      <c r="A326" s="2">
        <v>0.07</v>
      </c>
      <c r="B326" s="2">
        <v>230.3</v>
      </c>
      <c r="C326" s="2">
        <v>6.1</v>
      </c>
      <c r="D326" s="2">
        <v>6.46</v>
      </c>
      <c r="E326" s="2">
        <v>0.39</v>
      </c>
      <c r="F326" s="2">
        <v>50.0</v>
      </c>
      <c r="G326" s="3">
        <v>44465.61926388889</v>
      </c>
    </row>
    <row r="327">
      <c r="A327" s="2">
        <v>0.07</v>
      </c>
      <c r="B327" s="2">
        <v>229.8</v>
      </c>
      <c r="C327" s="2">
        <v>6.1</v>
      </c>
      <c r="D327" s="2">
        <v>6.46</v>
      </c>
      <c r="E327" s="2">
        <v>0.39</v>
      </c>
      <c r="F327" s="2">
        <v>50.0</v>
      </c>
      <c r="G327" s="3">
        <v>44465.61938902778</v>
      </c>
    </row>
    <row r="328">
      <c r="A328" s="2">
        <v>0.04</v>
      </c>
      <c r="B328" s="2">
        <v>230.0</v>
      </c>
      <c r="C328" s="2">
        <v>0.5</v>
      </c>
      <c r="D328" s="2">
        <v>6.46</v>
      </c>
      <c r="E328" s="2">
        <v>0.06</v>
      </c>
      <c r="F328" s="2">
        <v>50.0</v>
      </c>
      <c r="G328" s="3">
        <v>44465.61949780093</v>
      </c>
    </row>
    <row r="329">
      <c r="A329" s="2">
        <v>0.07</v>
      </c>
      <c r="B329" s="2">
        <v>230.1</v>
      </c>
      <c r="C329" s="2">
        <v>6.2</v>
      </c>
      <c r="D329" s="2">
        <v>6.46</v>
      </c>
      <c r="E329" s="2">
        <v>0.4</v>
      </c>
      <c r="F329" s="2">
        <v>49.9</v>
      </c>
      <c r="G329" s="3">
        <v>44465.619604884254</v>
      </c>
    </row>
    <row r="330">
      <c r="A330" s="2">
        <v>0.04</v>
      </c>
      <c r="B330" s="2">
        <v>230.1</v>
      </c>
      <c r="C330" s="2">
        <v>0.4</v>
      </c>
      <c r="D330" s="2">
        <v>6.46</v>
      </c>
      <c r="E330" s="2">
        <v>0.05</v>
      </c>
      <c r="F330" s="2">
        <v>50.0</v>
      </c>
      <c r="G330" s="3">
        <v>44465.619710960644</v>
      </c>
    </row>
    <row r="331">
      <c r="A331" s="2">
        <v>0.04</v>
      </c>
      <c r="B331" s="2">
        <v>230.0</v>
      </c>
      <c r="C331" s="2">
        <v>0.4</v>
      </c>
      <c r="D331" s="2">
        <v>6.46</v>
      </c>
      <c r="E331" s="2">
        <v>0.05</v>
      </c>
      <c r="F331" s="2">
        <v>50.0</v>
      </c>
      <c r="G331" s="3">
        <v>44465.61981398148</v>
      </c>
    </row>
    <row r="332">
      <c r="A332" s="2">
        <v>0.04</v>
      </c>
      <c r="B332" s="2">
        <v>230.0</v>
      </c>
      <c r="C332" s="2">
        <v>0.4</v>
      </c>
      <c r="D332" s="2">
        <v>6.46</v>
      </c>
      <c r="E332" s="2">
        <v>0.05</v>
      </c>
      <c r="F332" s="2">
        <v>50.0</v>
      </c>
      <c r="G332" s="3">
        <v>44465.61991809028</v>
      </c>
    </row>
    <row r="333">
      <c r="A333" s="2">
        <v>0.04</v>
      </c>
      <c r="B333" s="2">
        <v>230.4</v>
      </c>
      <c r="C333" s="2">
        <v>0.4</v>
      </c>
      <c r="D333" s="2">
        <v>6.46</v>
      </c>
      <c r="E333" s="2">
        <v>0.05</v>
      </c>
      <c r="F333" s="2">
        <v>50.0</v>
      </c>
      <c r="G333" s="3">
        <v>44465.62005143518</v>
      </c>
    </row>
    <row r="334">
      <c r="A334" s="2">
        <v>0.04</v>
      </c>
      <c r="B334" s="2">
        <v>230.1</v>
      </c>
      <c r="C334" s="2">
        <v>0.4</v>
      </c>
      <c r="D334" s="2">
        <v>6.46</v>
      </c>
      <c r="E334" s="2">
        <v>0.05</v>
      </c>
      <c r="F334" s="2">
        <v>50.0</v>
      </c>
      <c r="G334" s="3">
        <v>44465.620160300925</v>
      </c>
    </row>
    <row r="335">
      <c r="A335" s="2">
        <v>0.04</v>
      </c>
      <c r="B335" s="2">
        <v>230.2</v>
      </c>
      <c r="C335" s="2">
        <v>0.4</v>
      </c>
      <c r="D335" s="2">
        <v>6.46</v>
      </c>
      <c r="E335" s="2">
        <v>0.05</v>
      </c>
      <c r="F335" s="2">
        <v>49.9</v>
      </c>
      <c r="G335" s="3">
        <v>44465.62029342593</v>
      </c>
    </row>
    <row r="336">
      <c r="A336" s="2">
        <v>0.04</v>
      </c>
      <c r="B336" s="2">
        <v>230.0</v>
      </c>
      <c r="C336" s="2">
        <v>0.4</v>
      </c>
      <c r="D336" s="2">
        <v>6.46</v>
      </c>
      <c r="E336" s="2">
        <v>0.05</v>
      </c>
      <c r="F336" s="2">
        <v>50.0</v>
      </c>
      <c r="G336" s="3">
        <v>44465.62039658565</v>
      </c>
    </row>
    <row r="337">
      <c r="A337" s="2">
        <v>0.04</v>
      </c>
      <c r="B337" s="2">
        <v>230.0</v>
      </c>
      <c r="C337" s="2">
        <v>0.4</v>
      </c>
      <c r="D337" s="2">
        <v>6.46</v>
      </c>
      <c r="E337" s="2">
        <v>0.05</v>
      </c>
      <c r="F337" s="2">
        <v>49.9</v>
      </c>
      <c r="G337" s="3">
        <v>44465.62050243055</v>
      </c>
    </row>
    <row r="338">
      <c r="A338" s="2">
        <v>0.04</v>
      </c>
      <c r="B338" s="2">
        <v>230.0</v>
      </c>
      <c r="C338" s="2">
        <v>0.4</v>
      </c>
      <c r="D338" s="2">
        <v>6.46</v>
      </c>
      <c r="E338" s="2">
        <v>0.05</v>
      </c>
      <c r="F338" s="2">
        <v>50.0</v>
      </c>
      <c r="G338" s="3">
        <v>44465.62060504629</v>
      </c>
    </row>
    <row r="339">
      <c r="A339" s="2">
        <v>0.04</v>
      </c>
      <c r="B339" s="2">
        <v>230.0</v>
      </c>
      <c r="C339" s="2">
        <v>0.4</v>
      </c>
      <c r="D339" s="2">
        <v>6.46</v>
      </c>
      <c r="E339" s="2">
        <v>0.05</v>
      </c>
      <c r="F339" s="2">
        <v>49.9</v>
      </c>
      <c r="G339" s="3">
        <v>44465.62070828704</v>
      </c>
    </row>
    <row r="340">
      <c r="A340" s="2">
        <v>0.04</v>
      </c>
      <c r="B340" s="2">
        <v>229.9</v>
      </c>
      <c r="C340" s="2">
        <v>0.4</v>
      </c>
      <c r="D340" s="2">
        <v>6.46</v>
      </c>
      <c r="E340" s="2">
        <v>0.05</v>
      </c>
      <c r="F340" s="2">
        <v>49.9</v>
      </c>
      <c r="G340" s="3">
        <v>44465.62081753473</v>
      </c>
    </row>
    <row r="341">
      <c r="A341" s="2">
        <v>0.04</v>
      </c>
      <c r="B341" s="2">
        <v>229.6</v>
      </c>
      <c r="C341" s="2">
        <v>0.4</v>
      </c>
      <c r="D341" s="2">
        <v>6.46</v>
      </c>
      <c r="E341" s="2">
        <v>0.05</v>
      </c>
      <c r="F341" s="2">
        <v>50.0</v>
      </c>
      <c r="G341" s="3">
        <v>44465.62094313657</v>
      </c>
    </row>
    <row r="342">
      <c r="A342" s="2">
        <v>0.04</v>
      </c>
      <c r="B342" s="2">
        <v>229.7</v>
      </c>
      <c r="C342" s="2">
        <v>0.5</v>
      </c>
      <c r="D342" s="2">
        <v>6.46</v>
      </c>
      <c r="E342" s="2">
        <v>0.06</v>
      </c>
      <c r="F342" s="2">
        <v>50.0</v>
      </c>
      <c r="G342" s="3">
        <v>44465.621055462965</v>
      </c>
    </row>
    <row r="343">
      <c r="A343" s="2">
        <v>0.04</v>
      </c>
      <c r="B343" s="2">
        <v>229.5</v>
      </c>
      <c r="C343" s="2">
        <v>0.4</v>
      </c>
      <c r="D343" s="2">
        <v>6.46</v>
      </c>
      <c r="E343" s="2">
        <v>0.05</v>
      </c>
      <c r="F343" s="2">
        <v>49.9</v>
      </c>
      <c r="G343" s="3">
        <v>44465.62115950232</v>
      </c>
    </row>
    <row r="344">
      <c r="A344" s="2">
        <v>0.04</v>
      </c>
      <c r="B344" s="2">
        <v>229.7</v>
      </c>
      <c r="C344" s="2">
        <v>0.5</v>
      </c>
      <c r="D344" s="2">
        <v>6.46</v>
      </c>
      <c r="E344" s="2">
        <v>0.06</v>
      </c>
      <c r="F344" s="2">
        <v>49.9</v>
      </c>
      <c r="G344" s="3">
        <v>44465.621263043984</v>
      </c>
    </row>
    <row r="345">
      <c r="A345" s="2">
        <v>0.04</v>
      </c>
      <c r="B345" s="2">
        <v>229.6</v>
      </c>
      <c r="C345" s="2">
        <v>0.4</v>
      </c>
      <c r="D345" s="2">
        <v>6.46</v>
      </c>
      <c r="E345" s="2">
        <v>0.05</v>
      </c>
      <c r="F345" s="2">
        <v>49.9</v>
      </c>
      <c r="G345" s="3">
        <v>44465.62136625</v>
      </c>
    </row>
    <row r="346">
      <c r="A346" s="2">
        <v>0.09</v>
      </c>
      <c r="B346" s="2">
        <v>229.9</v>
      </c>
      <c r="C346" s="2">
        <v>8.8</v>
      </c>
      <c r="D346" s="2">
        <v>6.46</v>
      </c>
      <c r="E346" s="2">
        <v>0.43</v>
      </c>
      <c r="F346" s="2">
        <v>50.0</v>
      </c>
      <c r="G346" s="3">
        <v>44465.621758657406</v>
      </c>
    </row>
    <row r="347">
      <c r="A347" s="2">
        <v>0.09</v>
      </c>
      <c r="B347" s="2">
        <v>229.6</v>
      </c>
      <c r="C347" s="2">
        <v>9.1</v>
      </c>
      <c r="D347" s="2">
        <v>6.46</v>
      </c>
      <c r="E347" s="2">
        <v>0.44</v>
      </c>
      <c r="F347" s="2">
        <v>50.0</v>
      </c>
      <c r="G347" s="3">
        <v>44465.621866076384</v>
      </c>
    </row>
    <row r="348">
      <c r="A348" s="2">
        <v>0.09</v>
      </c>
      <c r="B348" s="2">
        <v>229.8</v>
      </c>
      <c r="C348" s="2">
        <v>9.1</v>
      </c>
      <c r="D348" s="2">
        <v>6.46</v>
      </c>
      <c r="E348" s="2">
        <v>0.44</v>
      </c>
      <c r="F348" s="2">
        <v>50.0</v>
      </c>
      <c r="G348" s="3">
        <v>44465.621979675925</v>
      </c>
    </row>
    <row r="349">
      <c r="A349" s="2">
        <v>0.09</v>
      </c>
      <c r="B349" s="2">
        <v>229.7</v>
      </c>
      <c r="C349" s="2">
        <v>9.0</v>
      </c>
      <c r="D349" s="2">
        <v>6.46</v>
      </c>
      <c r="E349" s="2">
        <v>0.44</v>
      </c>
      <c r="F349" s="2">
        <v>50.0</v>
      </c>
      <c r="G349" s="3">
        <v>44465.62208292824</v>
      </c>
    </row>
    <row r="350">
      <c r="A350" s="2">
        <v>0.09</v>
      </c>
      <c r="B350" s="2">
        <v>229.6</v>
      </c>
      <c r="C350" s="2">
        <v>9.0</v>
      </c>
      <c r="D350" s="2">
        <v>6.46</v>
      </c>
      <c r="E350" s="2">
        <v>0.44</v>
      </c>
      <c r="F350" s="2">
        <v>50.0</v>
      </c>
      <c r="G350" s="3">
        <v>44465.622185949076</v>
      </c>
    </row>
    <row r="351">
      <c r="A351" s="2">
        <v>0.09</v>
      </c>
      <c r="B351" s="2">
        <v>229.8</v>
      </c>
      <c r="C351" s="2">
        <v>9.1</v>
      </c>
      <c r="D351" s="2">
        <v>6.46</v>
      </c>
      <c r="E351" s="2">
        <v>0.44</v>
      </c>
      <c r="F351" s="2">
        <v>50.0</v>
      </c>
      <c r="G351" s="3">
        <v>44465.62228784722</v>
      </c>
    </row>
    <row r="352">
      <c r="A352" s="2">
        <v>0.09</v>
      </c>
      <c r="B352" s="2">
        <v>229.8</v>
      </c>
      <c r="C352" s="2">
        <v>9.4</v>
      </c>
      <c r="D352" s="2">
        <v>6.46</v>
      </c>
      <c r="E352" s="2">
        <v>0.44</v>
      </c>
      <c r="F352" s="2">
        <v>50.0</v>
      </c>
      <c r="G352" s="3">
        <v>44465.62238980324</v>
      </c>
    </row>
    <row r="353">
      <c r="A353" s="2">
        <v>0.09</v>
      </c>
      <c r="B353" s="2">
        <v>229.5</v>
      </c>
      <c r="C353" s="2">
        <v>9.4</v>
      </c>
      <c r="D353" s="2">
        <v>6.46</v>
      </c>
      <c r="E353" s="2">
        <v>0.45</v>
      </c>
      <c r="F353" s="2">
        <v>49.9</v>
      </c>
      <c r="G353" s="3">
        <v>44465.62249260416</v>
      </c>
    </row>
    <row r="354">
      <c r="A354" s="2">
        <v>0.09</v>
      </c>
      <c r="B354" s="2">
        <v>228.9</v>
      </c>
      <c r="C354" s="2">
        <v>9.4</v>
      </c>
      <c r="D354" s="2">
        <v>6.46</v>
      </c>
      <c r="E354" s="2">
        <v>0.44</v>
      </c>
      <c r="F354" s="2">
        <v>49.9</v>
      </c>
      <c r="G354" s="3">
        <v>44465.62259564815</v>
      </c>
    </row>
    <row r="355">
      <c r="A355" s="2">
        <v>0.04</v>
      </c>
      <c r="B355" s="2">
        <v>229.1</v>
      </c>
      <c r="C355" s="2">
        <v>0.0</v>
      </c>
      <c r="D355" s="2">
        <v>6.46</v>
      </c>
      <c r="E355" s="2">
        <v>0.0</v>
      </c>
      <c r="F355" s="2">
        <v>49.9</v>
      </c>
      <c r="G355" s="3">
        <v>44465.62270018518</v>
      </c>
    </row>
    <row r="356">
      <c r="A356" s="2">
        <v>0.07</v>
      </c>
      <c r="B356" s="2">
        <v>229.6</v>
      </c>
      <c r="C356" s="2">
        <v>6.3</v>
      </c>
      <c r="D356" s="2">
        <v>6.46</v>
      </c>
      <c r="E356" s="2">
        <v>0.42</v>
      </c>
      <c r="F356" s="2">
        <v>49.9</v>
      </c>
      <c r="G356" s="3">
        <v>44465.62280486111</v>
      </c>
    </row>
    <row r="357">
      <c r="A357" s="2">
        <v>0.07</v>
      </c>
      <c r="B357" s="2">
        <v>230.0</v>
      </c>
      <c r="C357" s="2">
        <v>6.3</v>
      </c>
      <c r="D357" s="2">
        <v>6.46</v>
      </c>
      <c r="E357" s="2">
        <v>0.42</v>
      </c>
      <c r="F357" s="2">
        <v>49.9</v>
      </c>
      <c r="G357" s="3">
        <v>44465.622911053244</v>
      </c>
    </row>
    <row r="358">
      <c r="A358" s="2">
        <v>0.07</v>
      </c>
      <c r="B358" s="2">
        <v>229.9</v>
      </c>
      <c r="C358" s="2">
        <v>6.2</v>
      </c>
      <c r="D358" s="2">
        <v>6.46</v>
      </c>
      <c r="E358" s="2">
        <v>0.41</v>
      </c>
      <c r="F358" s="2">
        <v>49.9</v>
      </c>
      <c r="G358" s="3">
        <v>44465.62301664352</v>
      </c>
    </row>
    <row r="359">
      <c r="A359" s="2">
        <v>0.07</v>
      </c>
      <c r="B359" s="2">
        <v>229.9</v>
      </c>
      <c r="C359" s="2">
        <v>6.2</v>
      </c>
      <c r="D359" s="2">
        <v>6.46</v>
      </c>
      <c r="E359" s="2">
        <v>0.41</v>
      </c>
      <c r="F359" s="2">
        <v>49.9</v>
      </c>
      <c r="G359" s="3">
        <v>44465.62311996528</v>
      </c>
    </row>
    <row r="360">
      <c r="A360" s="2">
        <v>0.07</v>
      </c>
      <c r="B360" s="2">
        <v>229.4</v>
      </c>
      <c r="C360" s="2">
        <v>6.2</v>
      </c>
      <c r="D360" s="2">
        <v>6.46</v>
      </c>
      <c r="E360" s="2">
        <v>0.41</v>
      </c>
      <c r="F360" s="2">
        <v>49.9</v>
      </c>
      <c r="G360" s="3">
        <v>44465.62322758102</v>
      </c>
    </row>
    <row r="361">
      <c r="A361" s="2">
        <v>0.07</v>
      </c>
      <c r="B361" s="2">
        <v>229.7</v>
      </c>
      <c r="C361" s="2">
        <v>6.2</v>
      </c>
      <c r="D361" s="2">
        <v>6.46</v>
      </c>
      <c r="E361" s="2">
        <v>0.4</v>
      </c>
      <c r="F361" s="2">
        <v>50.0</v>
      </c>
      <c r="G361" s="3">
        <v>44465.623677870375</v>
      </c>
    </row>
    <row r="362">
      <c r="A362" s="2">
        <v>0.05</v>
      </c>
      <c r="B362" s="2">
        <v>229.7</v>
      </c>
      <c r="C362" s="2">
        <v>4.5</v>
      </c>
      <c r="D362" s="2">
        <v>6.46</v>
      </c>
      <c r="E362" s="2">
        <v>0.36</v>
      </c>
      <c r="F362" s="2">
        <v>49.9</v>
      </c>
      <c r="G362" s="3">
        <v>44465.623802511574</v>
      </c>
    </row>
    <row r="363">
      <c r="A363" s="2">
        <v>0.05</v>
      </c>
      <c r="B363" s="2">
        <v>229.5</v>
      </c>
      <c r="C363" s="2">
        <v>4.6</v>
      </c>
      <c r="D363" s="2">
        <v>6.46</v>
      </c>
      <c r="E363" s="2">
        <v>0.36</v>
      </c>
      <c r="F363" s="2">
        <v>50.0</v>
      </c>
      <c r="G363" s="3">
        <v>44465.62391173611</v>
      </c>
    </row>
    <row r="364">
      <c r="A364" s="2">
        <v>0.06</v>
      </c>
      <c r="B364" s="2">
        <v>230.0</v>
      </c>
      <c r="C364" s="2">
        <v>5.6</v>
      </c>
      <c r="D364" s="2">
        <v>6.46</v>
      </c>
      <c r="E364" s="2">
        <v>0.39</v>
      </c>
      <c r="F364" s="2">
        <v>50.0</v>
      </c>
      <c r="G364" s="3">
        <v>44465.62401519676</v>
      </c>
    </row>
    <row r="365">
      <c r="A365" s="2">
        <v>0.08</v>
      </c>
      <c r="B365" s="2">
        <v>230.2</v>
      </c>
      <c r="C365" s="2">
        <v>8.2</v>
      </c>
      <c r="D365" s="2">
        <v>6.46</v>
      </c>
      <c r="E365" s="2">
        <v>0.43</v>
      </c>
      <c r="F365" s="2">
        <v>50.0</v>
      </c>
      <c r="G365" s="3">
        <v>44465.62412434028</v>
      </c>
    </row>
    <row r="366">
      <c r="A366" s="2">
        <v>0.08</v>
      </c>
      <c r="B366" s="2">
        <v>230.1</v>
      </c>
      <c r="C366" s="2">
        <v>8.3</v>
      </c>
      <c r="D366" s="2">
        <v>6.46</v>
      </c>
      <c r="E366" s="2">
        <v>0.44</v>
      </c>
      <c r="F366" s="2">
        <v>50.0</v>
      </c>
      <c r="G366" s="3">
        <v>44465.62423447917</v>
      </c>
    </row>
    <row r="367">
      <c r="A367" s="2">
        <v>0.07</v>
      </c>
      <c r="B367" s="2">
        <v>229.8</v>
      </c>
      <c r="C367" s="2">
        <v>6.4</v>
      </c>
      <c r="D367" s="2">
        <v>6.46</v>
      </c>
      <c r="E367" s="2">
        <v>0.41</v>
      </c>
      <c r="F367" s="2">
        <v>50.0</v>
      </c>
      <c r="G367" s="3">
        <v>44465.62433604167</v>
      </c>
    </row>
    <row r="368">
      <c r="A368" s="2">
        <v>0.07</v>
      </c>
      <c r="B368" s="2">
        <v>230.2</v>
      </c>
      <c r="C368" s="2">
        <v>6.6</v>
      </c>
      <c r="D368" s="2">
        <v>6.46</v>
      </c>
      <c r="E368" s="2">
        <v>0.42</v>
      </c>
      <c r="F368" s="2">
        <v>50.0</v>
      </c>
      <c r="G368" s="3">
        <v>44465.6244433449</v>
      </c>
    </row>
    <row r="369">
      <c r="A369" s="2">
        <v>0.04</v>
      </c>
      <c r="B369" s="2">
        <v>230.0</v>
      </c>
      <c r="C369" s="2">
        <v>1.5</v>
      </c>
      <c r="D369" s="2">
        <v>6.46</v>
      </c>
      <c r="E369" s="2">
        <v>0.17</v>
      </c>
      <c r="F369" s="2">
        <v>50.0</v>
      </c>
      <c r="G369" s="3">
        <v>44465.6245603125</v>
      </c>
    </row>
    <row r="370">
      <c r="A370" s="2">
        <v>0.05</v>
      </c>
      <c r="B370" s="2">
        <v>230.2</v>
      </c>
      <c r="C370" s="2">
        <v>3.0</v>
      </c>
      <c r="D370" s="2">
        <v>6.46</v>
      </c>
      <c r="E370" s="2">
        <v>0.28</v>
      </c>
      <c r="F370" s="2">
        <v>50.0</v>
      </c>
      <c r="G370" s="3">
        <v>44465.62467560185</v>
      </c>
    </row>
    <row r="371">
      <c r="A371" s="2">
        <v>0.04</v>
      </c>
      <c r="B371" s="2">
        <v>230.2</v>
      </c>
      <c r="C371" s="2">
        <v>1.9</v>
      </c>
      <c r="D371" s="2">
        <v>6.46</v>
      </c>
      <c r="E371" s="2">
        <v>0.21</v>
      </c>
      <c r="F371" s="2">
        <v>50.0</v>
      </c>
      <c r="G371" s="3">
        <v>44465.624784942134</v>
      </c>
    </row>
    <row r="372">
      <c r="A372" s="2">
        <v>0.04</v>
      </c>
      <c r="B372" s="2">
        <v>230.2</v>
      </c>
      <c r="C372" s="2">
        <v>1.9</v>
      </c>
      <c r="D372" s="2">
        <v>6.46</v>
      </c>
      <c r="E372" s="2">
        <v>0.21</v>
      </c>
      <c r="F372" s="2">
        <v>50.0</v>
      </c>
      <c r="G372" s="3">
        <v>44465.62490023148</v>
      </c>
    </row>
    <row r="373">
      <c r="A373" s="2">
        <v>0.04</v>
      </c>
      <c r="B373" s="2">
        <v>230.0</v>
      </c>
      <c r="C373" s="2">
        <v>1.9</v>
      </c>
      <c r="D373" s="2">
        <v>6.46</v>
      </c>
      <c r="E373" s="2">
        <v>0.21</v>
      </c>
      <c r="F373" s="2">
        <v>50.0</v>
      </c>
      <c r="G373" s="3">
        <v>44465.62501578704</v>
      </c>
    </row>
    <row r="374">
      <c r="A374" s="2">
        <v>0.06</v>
      </c>
      <c r="B374" s="2">
        <v>229.9</v>
      </c>
      <c r="C374" s="2">
        <v>5.9</v>
      </c>
      <c r="D374" s="2">
        <v>6.46</v>
      </c>
      <c r="E374" s="2">
        <v>0.4</v>
      </c>
      <c r="F374" s="2">
        <v>50.0</v>
      </c>
      <c r="G374" s="3">
        <v>44465.62511929398</v>
      </c>
    </row>
    <row r="375">
      <c r="A375" s="2">
        <v>0.06</v>
      </c>
      <c r="B375" s="2">
        <v>230.0</v>
      </c>
      <c r="C375" s="2">
        <v>5.9</v>
      </c>
      <c r="D375" s="2">
        <v>6.46</v>
      </c>
      <c r="E375" s="2">
        <v>0.4</v>
      </c>
      <c r="F375" s="2">
        <v>50.0</v>
      </c>
      <c r="G375" s="3">
        <v>44465.625226793985</v>
      </c>
    </row>
    <row r="376">
      <c r="A376" s="2">
        <v>0.06</v>
      </c>
      <c r="B376" s="2">
        <v>229.9</v>
      </c>
      <c r="C376" s="2">
        <v>5.9</v>
      </c>
      <c r="D376" s="2">
        <v>6.46</v>
      </c>
      <c r="E376" s="2">
        <v>0.4</v>
      </c>
      <c r="F376" s="2">
        <v>50.0</v>
      </c>
      <c r="G376" s="3">
        <v>44465.62534092592</v>
      </c>
    </row>
    <row r="377">
      <c r="A377" s="2">
        <v>0.06</v>
      </c>
      <c r="B377" s="2">
        <v>230.1</v>
      </c>
      <c r="C377" s="2">
        <v>5.8</v>
      </c>
      <c r="D377" s="2">
        <v>6.46</v>
      </c>
      <c r="E377" s="2">
        <v>0.39</v>
      </c>
      <c r="F377" s="2">
        <v>50.0</v>
      </c>
      <c r="G377" s="3">
        <v>44465.62565743056</v>
      </c>
    </row>
    <row r="378">
      <c r="A378" s="2">
        <v>0.06</v>
      </c>
      <c r="B378" s="2">
        <v>230.2</v>
      </c>
      <c r="C378" s="2">
        <v>5.8</v>
      </c>
      <c r="D378" s="2">
        <v>6.46</v>
      </c>
      <c r="E378" s="2">
        <v>0.39</v>
      </c>
      <c r="F378" s="2">
        <v>50.0</v>
      </c>
      <c r="G378" s="3">
        <v>44465.62577049769</v>
      </c>
    </row>
    <row r="379">
      <c r="A379" s="2">
        <v>0.06</v>
      </c>
      <c r="B379" s="2">
        <v>230.1</v>
      </c>
      <c r="C379" s="2">
        <v>5.8</v>
      </c>
      <c r="D379" s="2">
        <v>6.46</v>
      </c>
      <c r="E379" s="2">
        <v>0.39</v>
      </c>
      <c r="F379" s="2">
        <v>50.0</v>
      </c>
      <c r="G379" s="3">
        <v>44465.62595332176</v>
      </c>
    </row>
    <row r="380">
      <c r="A380" s="2">
        <v>0.06</v>
      </c>
      <c r="B380" s="2">
        <v>230.1</v>
      </c>
      <c r="C380" s="2">
        <v>5.9</v>
      </c>
      <c r="D380" s="2">
        <v>6.46</v>
      </c>
      <c r="E380" s="2">
        <v>0.4</v>
      </c>
      <c r="F380" s="2">
        <v>50.0</v>
      </c>
      <c r="G380" s="3">
        <v>44465.62606016204</v>
      </c>
    </row>
    <row r="381">
      <c r="A381" s="2">
        <v>0.05</v>
      </c>
      <c r="B381" s="2">
        <v>230.2</v>
      </c>
      <c r="C381" s="2">
        <v>3.8</v>
      </c>
      <c r="D381" s="2">
        <v>6.46</v>
      </c>
      <c r="E381" s="2">
        <v>0.33</v>
      </c>
      <c r="F381" s="2">
        <v>50.0</v>
      </c>
      <c r="G381" s="3">
        <v>44465.62616685186</v>
      </c>
    </row>
    <row r="382">
      <c r="A382" s="2">
        <v>0.04</v>
      </c>
      <c r="B382" s="2">
        <v>230.1</v>
      </c>
      <c r="C382" s="2">
        <v>1.9</v>
      </c>
      <c r="D382" s="2">
        <v>6.46</v>
      </c>
      <c r="E382" s="2">
        <v>0.21</v>
      </c>
      <c r="F382" s="2">
        <v>50.0</v>
      </c>
      <c r="G382" s="3">
        <v>44465.626271354166</v>
      </c>
    </row>
    <row r="383">
      <c r="A383" s="2">
        <v>0.04</v>
      </c>
      <c r="B383" s="2">
        <v>230.4</v>
      </c>
      <c r="C383" s="2">
        <v>1.9</v>
      </c>
      <c r="D383" s="2">
        <v>6.46</v>
      </c>
      <c r="E383" s="2">
        <v>0.21</v>
      </c>
      <c r="F383" s="2">
        <v>50.0</v>
      </c>
      <c r="G383" s="3">
        <v>44465.6263787037</v>
      </c>
    </row>
    <row r="384">
      <c r="A384" s="2">
        <v>0.04</v>
      </c>
      <c r="B384" s="2">
        <v>230.3</v>
      </c>
      <c r="C384" s="2">
        <v>1.9</v>
      </c>
      <c r="D384" s="2">
        <v>6.46</v>
      </c>
      <c r="E384" s="2">
        <v>0.21</v>
      </c>
      <c r="F384" s="2">
        <v>50.0</v>
      </c>
      <c r="G384" s="3">
        <v>44465.626493055555</v>
      </c>
    </row>
    <row r="385">
      <c r="A385" s="2">
        <v>0.06</v>
      </c>
      <c r="B385" s="2">
        <v>230.3</v>
      </c>
      <c r="C385" s="2">
        <v>5.8</v>
      </c>
      <c r="D385" s="2">
        <v>6.46</v>
      </c>
      <c r="E385" s="2">
        <v>0.4</v>
      </c>
      <c r="F385" s="2">
        <v>50.0</v>
      </c>
      <c r="G385" s="3">
        <v>44465.62660354166</v>
      </c>
    </row>
    <row r="386">
      <c r="A386" s="2">
        <v>0.06</v>
      </c>
      <c r="B386" s="2">
        <v>230.1</v>
      </c>
      <c r="C386" s="2">
        <v>5.7</v>
      </c>
      <c r="D386" s="2">
        <v>6.46</v>
      </c>
      <c r="E386" s="2">
        <v>0.4</v>
      </c>
      <c r="F386" s="2">
        <v>50.0</v>
      </c>
      <c r="G386" s="3">
        <v>44465.626708703705</v>
      </c>
    </row>
    <row r="387">
      <c r="A387" s="2">
        <v>0.06</v>
      </c>
      <c r="B387" s="2">
        <v>230.0</v>
      </c>
      <c r="C387" s="2">
        <v>5.9</v>
      </c>
      <c r="D387" s="2">
        <v>6.46</v>
      </c>
      <c r="E387" s="2">
        <v>0.4</v>
      </c>
      <c r="F387" s="2">
        <v>49.9</v>
      </c>
      <c r="G387" s="3">
        <v>44465.62681462963</v>
      </c>
    </row>
    <row r="388">
      <c r="A388" s="2">
        <v>0.05</v>
      </c>
      <c r="B388" s="2">
        <v>229.5</v>
      </c>
      <c r="C388" s="2">
        <v>4.3</v>
      </c>
      <c r="D388" s="2">
        <v>6.46</v>
      </c>
      <c r="E388" s="2">
        <v>0.35</v>
      </c>
      <c r="F388" s="2">
        <v>49.9</v>
      </c>
      <c r="G388" s="3">
        <v>44465.62691840278</v>
      </c>
    </row>
    <row r="389">
      <c r="A389" s="2">
        <v>0.05</v>
      </c>
      <c r="B389" s="2">
        <v>230.0</v>
      </c>
      <c r="C389" s="2">
        <v>4.5</v>
      </c>
      <c r="D389" s="2">
        <v>6.46</v>
      </c>
      <c r="E389" s="2">
        <v>0.36</v>
      </c>
      <c r="F389" s="2">
        <v>50.0</v>
      </c>
      <c r="G389" s="3">
        <v>44465.62720209491</v>
      </c>
    </row>
    <row r="390">
      <c r="A390" s="2">
        <v>0.05</v>
      </c>
      <c r="B390" s="2">
        <v>230.0</v>
      </c>
      <c r="C390" s="2">
        <v>4.3</v>
      </c>
      <c r="D390" s="2">
        <v>6.46</v>
      </c>
      <c r="E390" s="2">
        <v>0.35</v>
      </c>
      <c r="F390" s="2">
        <v>49.9</v>
      </c>
      <c r="G390" s="3">
        <v>44465.62730467593</v>
      </c>
    </row>
    <row r="391">
      <c r="A391" s="2">
        <v>0.05</v>
      </c>
      <c r="B391" s="2">
        <v>229.9</v>
      </c>
      <c r="C391" s="2">
        <v>4.6</v>
      </c>
      <c r="D391" s="2">
        <v>6.46</v>
      </c>
      <c r="E391" s="2">
        <v>0.36</v>
      </c>
      <c r="F391" s="2">
        <v>49.9</v>
      </c>
      <c r="G391" s="3">
        <v>44465.627415625</v>
      </c>
    </row>
    <row r="392">
      <c r="A392" s="2">
        <v>0.04</v>
      </c>
      <c r="B392" s="2">
        <v>229.9</v>
      </c>
      <c r="C392" s="2">
        <v>0.4</v>
      </c>
      <c r="D392" s="2">
        <v>6.46</v>
      </c>
      <c r="E392" s="2">
        <v>0.05</v>
      </c>
      <c r="F392" s="2">
        <v>49.9</v>
      </c>
      <c r="G392" s="3">
        <v>44465.627526689816</v>
      </c>
    </row>
    <row r="393">
      <c r="A393" s="2">
        <v>0.06</v>
      </c>
      <c r="B393" s="2">
        <v>230.0</v>
      </c>
      <c r="C393" s="2">
        <v>5.3</v>
      </c>
      <c r="D393" s="2">
        <v>6.46</v>
      </c>
      <c r="E393" s="2">
        <v>0.37</v>
      </c>
      <c r="F393" s="2">
        <v>50.0</v>
      </c>
      <c r="G393" s="3">
        <v>44465.62763096065</v>
      </c>
    </row>
    <row r="394">
      <c r="A394" s="2">
        <v>0.08</v>
      </c>
      <c r="B394" s="2">
        <v>230.1</v>
      </c>
      <c r="C394" s="2">
        <v>8.3</v>
      </c>
      <c r="D394" s="2">
        <v>6.46</v>
      </c>
      <c r="E394" s="2">
        <v>0.44</v>
      </c>
      <c r="F394" s="2">
        <v>50.0</v>
      </c>
      <c r="G394" s="3">
        <v>44465.627736875</v>
      </c>
    </row>
    <row r="395">
      <c r="A395" s="2">
        <v>0.09</v>
      </c>
      <c r="B395" s="2">
        <v>230.2</v>
      </c>
      <c r="C395" s="2">
        <v>9.9</v>
      </c>
      <c r="D395" s="2">
        <v>6.46</v>
      </c>
      <c r="E395" s="2">
        <v>0.45</v>
      </c>
      <c r="F395" s="2">
        <v>50.0</v>
      </c>
      <c r="G395" s="3">
        <v>44465.62784108796</v>
      </c>
    </row>
    <row r="396">
      <c r="A396" s="2">
        <v>0.09</v>
      </c>
      <c r="B396" s="2">
        <v>230.1</v>
      </c>
      <c r="C396" s="2">
        <v>9.9</v>
      </c>
      <c r="D396" s="2">
        <v>6.46</v>
      </c>
      <c r="E396" s="2">
        <v>0.45</v>
      </c>
      <c r="F396" s="2">
        <v>50.0</v>
      </c>
      <c r="G396" s="3">
        <v>44465.62794413195</v>
      </c>
    </row>
    <row r="397">
      <c r="A397" s="2">
        <v>0.1</v>
      </c>
      <c r="B397" s="2">
        <v>230.2</v>
      </c>
      <c r="C397" s="2">
        <v>10.0</v>
      </c>
      <c r="D397" s="2">
        <v>6.46</v>
      </c>
      <c r="E397" s="2">
        <v>0.45</v>
      </c>
      <c r="F397" s="2">
        <v>50.0</v>
      </c>
      <c r="G397" s="3">
        <v>44465.62804728009</v>
      </c>
    </row>
    <row r="398">
      <c r="A398" s="2">
        <v>0.13</v>
      </c>
      <c r="B398" s="2">
        <v>230.0</v>
      </c>
      <c r="C398" s="2">
        <v>13.8</v>
      </c>
      <c r="D398" s="2">
        <v>6.46</v>
      </c>
      <c r="E398" s="2">
        <v>0.47</v>
      </c>
      <c r="F398" s="2">
        <v>50.0</v>
      </c>
      <c r="G398" s="3">
        <v>44465.6281553125</v>
      </c>
    </row>
    <row r="399">
      <c r="A399" s="2">
        <v>0.13</v>
      </c>
      <c r="B399" s="2">
        <v>229.8</v>
      </c>
      <c r="C399" s="2">
        <v>13.7</v>
      </c>
      <c r="D399" s="2">
        <v>6.46</v>
      </c>
      <c r="E399" s="2">
        <v>0.47</v>
      </c>
      <c r="F399" s="2">
        <v>50.0</v>
      </c>
      <c r="G399" s="3">
        <v>44465.628264363426</v>
      </c>
    </row>
    <row r="400">
      <c r="A400" s="2">
        <v>0.13</v>
      </c>
      <c r="B400" s="2">
        <v>229.9</v>
      </c>
      <c r="C400" s="2">
        <v>13.9</v>
      </c>
      <c r="D400" s="2">
        <v>6.46</v>
      </c>
      <c r="E400" s="2">
        <v>0.47</v>
      </c>
      <c r="F400" s="2">
        <v>50.0</v>
      </c>
      <c r="G400" s="3">
        <v>44465.628371053244</v>
      </c>
    </row>
    <row r="401">
      <c r="A401" s="2">
        <v>0.12</v>
      </c>
      <c r="B401" s="2">
        <v>229.8</v>
      </c>
      <c r="C401" s="2">
        <v>12.3</v>
      </c>
      <c r="D401" s="2">
        <v>6.46</v>
      </c>
      <c r="E401" s="2">
        <v>0.47</v>
      </c>
      <c r="F401" s="2">
        <v>50.0</v>
      </c>
      <c r="G401" s="3">
        <v>44465.62847512732</v>
      </c>
    </row>
    <row r="402">
      <c r="A402" s="2">
        <v>0.1</v>
      </c>
      <c r="B402" s="2">
        <v>229.4</v>
      </c>
      <c r="C402" s="2">
        <v>10.3</v>
      </c>
      <c r="D402" s="2">
        <v>6.46</v>
      </c>
      <c r="E402" s="2">
        <v>0.46</v>
      </c>
      <c r="F402" s="2">
        <v>50.0</v>
      </c>
      <c r="G402" s="3">
        <v>44465.62857961806</v>
      </c>
    </row>
    <row r="403">
      <c r="A403" s="2">
        <v>0.1</v>
      </c>
      <c r="B403" s="2">
        <v>229.6</v>
      </c>
      <c r="C403" s="2">
        <v>10.3</v>
      </c>
      <c r="D403" s="2">
        <v>6.46</v>
      </c>
      <c r="E403" s="2">
        <v>0.46</v>
      </c>
      <c r="F403" s="2">
        <v>50.0</v>
      </c>
      <c r="G403" s="3">
        <v>44465.62868835648</v>
      </c>
    </row>
    <row r="404">
      <c r="A404" s="2">
        <v>0.1</v>
      </c>
      <c r="B404" s="2">
        <v>229.4</v>
      </c>
      <c r="C404" s="2">
        <v>10.2</v>
      </c>
      <c r="D404" s="2">
        <v>6.46</v>
      </c>
      <c r="E404" s="2">
        <v>0.45</v>
      </c>
      <c r="F404" s="2">
        <v>49.9</v>
      </c>
      <c r="G404" s="3">
        <v>44465.628957106484</v>
      </c>
    </row>
    <row r="405">
      <c r="A405" s="2">
        <v>0.1</v>
      </c>
      <c r="B405" s="2">
        <v>229.5</v>
      </c>
      <c r="C405" s="2">
        <v>10.6</v>
      </c>
      <c r="D405" s="2">
        <v>6.46</v>
      </c>
      <c r="E405" s="2">
        <v>0.46</v>
      </c>
      <c r="F405" s="2">
        <v>49.9</v>
      </c>
      <c r="G405" s="3">
        <v>44465.62907447916</v>
      </c>
    </row>
    <row r="406">
      <c r="A406" s="2">
        <v>0.1</v>
      </c>
      <c r="B406" s="2">
        <v>229.5</v>
      </c>
      <c r="C406" s="2">
        <v>10.6</v>
      </c>
      <c r="D406" s="2">
        <v>6.46</v>
      </c>
      <c r="E406" s="2">
        <v>0.46</v>
      </c>
      <c r="F406" s="2">
        <v>50.0</v>
      </c>
      <c r="G406" s="3">
        <v>44465.62919131944</v>
      </c>
    </row>
    <row r="407">
      <c r="A407" s="2">
        <v>0.1</v>
      </c>
      <c r="B407" s="2">
        <v>229.4</v>
      </c>
      <c r="C407" s="2">
        <v>10.7</v>
      </c>
      <c r="D407" s="2">
        <v>6.46</v>
      </c>
      <c r="E407" s="2">
        <v>0.46</v>
      </c>
      <c r="F407" s="2">
        <v>50.0</v>
      </c>
      <c r="G407" s="3">
        <v>44465.62929878473</v>
      </c>
    </row>
    <row r="408">
      <c r="A408" s="2">
        <v>0.1</v>
      </c>
      <c r="B408" s="2">
        <v>229.3</v>
      </c>
      <c r="C408" s="2">
        <v>10.6</v>
      </c>
      <c r="D408" s="2">
        <v>6.46</v>
      </c>
      <c r="E408" s="2">
        <v>0.46</v>
      </c>
      <c r="F408" s="2">
        <v>50.0</v>
      </c>
      <c r="G408" s="3">
        <v>44465.62940334491</v>
      </c>
    </row>
    <row r="409">
      <c r="A409" s="2">
        <v>0.1</v>
      </c>
      <c r="B409" s="2">
        <v>229.2</v>
      </c>
      <c r="C409" s="2">
        <v>10.6</v>
      </c>
      <c r="D409" s="2">
        <v>6.46</v>
      </c>
      <c r="E409" s="2">
        <v>0.46</v>
      </c>
      <c r="F409" s="2">
        <v>50.0</v>
      </c>
      <c r="G409" s="3">
        <v>44465.629510115745</v>
      </c>
    </row>
    <row r="410">
      <c r="A410" s="2">
        <v>0.1</v>
      </c>
      <c r="B410" s="2">
        <v>229.4</v>
      </c>
      <c r="C410" s="2">
        <v>11.0</v>
      </c>
      <c r="D410" s="2">
        <v>6.46</v>
      </c>
      <c r="E410" s="2">
        <v>0.46</v>
      </c>
      <c r="F410" s="2">
        <v>50.0</v>
      </c>
      <c r="G410" s="3">
        <v>44465.62961289352</v>
      </c>
    </row>
    <row r="411">
      <c r="A411" s="2">
        <v>0.1</v>
      </c>
      <c r="B411" s="2">
        <v>229.6</v>
      </c>
      <c r="C411" s="2">
        <v>11.0</v>
      </c>
      <c r="D411" s="2">
        <v>6.46</v>
      </c>
      <c r="E411" s="2">
        <v>0.46</v>
      </c>
      <c r="F411" s="2">
        <v>50.0</v>
      </c>
      <c r="G411" s="3">
        <v>44465.629718344906</v>
      </c>
    </row>
    <row r="412">
      <c r="A412" s="2">
        <v>0.1</v>
      </c>
      <c r="B412" s="2">
        <v>229.8</v>
      </c>
      <c r="C412" s="2">
        <v>10.9</v>
      </c>
      <c r="D412" s="2">
        <v>6.46</v>
      </c>
      <c r="E412" s="2">
        <v>0.46</v>
      </c>
      <c r="F412" s="2">
        <v>50.0</v>
      </c>
      <c r="G412" s="3">
        <v>44465.62982825231</v>
      </c>
    </row>
    <row r="413">
      <c r="A413" s="2">
        <v>0.1</v>
      </c>
      <c r="B413" s="2">
        <v>229.7</v>
      </c>
      <c r="C413" s="2">
        <v>10.9</v>
      </c>
      <c r="D413" s="2">
        <v>6.46</v>
      </c>
      <c r="E413" s="2">
        <v>0.46</v>
      </c>
      <c r="F413" s="2">
        <v>50.0</v>
      </c>
      <c r="G413" s="3">
        <v>44465.62994384259</v>
      </c>
    </row>
    <row r="414">
      <c r="A414" s="2">
        <v>0.1</v>
      </c>
      <c r="B414" s="2">
        <v>229.9</v>
      </c>
      <c r="C414" s="2">
        <v>10.9</v>
      </c>
      <c r="D414" s="2">
        <v>6.46</v>
      </c>
      <c r="E414" s="2">
        <v>0.46</v>
      </c>
      <c r="F414" s="2">
        <v>50.0</v>
      </c>
      <c r="G414" s="3">
        <v>44465.63007168981</v>
      </c>
    </row>
    <row r="415">
      <c r="A415" s="2">
        <v>0.11</v>
      </c>
      <c r="B415" s="2">
        <v>229.6</v>
      </c>
      <c r="C415" s="2">
        <v>11.2</v>
      </c>
      <c r="D415" s="2">
        <v>6.46</v>
      </c>
      <c r="E415" s="2">
        <v>0.46</v>
      </c>
      <c r="F415" s="2">
        <v>50.0</v>
      </c>
      <c r="G415" s="3">
        <v>44465.630238541664</v>
      </c>
    </row>
    <row r="416">
      <c r="A416" s="2">
        <v>0.11</v>
      </c>
      <c r="B416" s="2">
        <v>229.6</v>
      </c>
      <c r="C416" s="2">
        <v>11.2</v>
      </c>
      <c r="D416" s="2">
        <v>6.46</v>
      </c>
      <c r="E416" s="2">
        <v>0.46</v>
      </c>
      <c r="F416" s="2">
        <v>49.9</v>
      </c>
      <c r="G416" s="3">
        <v>44465.63036122685</v>
      </c>
    </row>
    <row r="417">
      <c r="A417" s="2">
        <v>0.1</v>
      </c>
      <c r="B417" s="2">
        <v>229.5</v>
      </c>
      <c r="C417" s="2">
        <v>11.2</v>
      </c>
      <c r="D417" s="2">
        <v>6.46</v>
      </c>
      <c r="E417" s="2">
        <v>0.46</v>
      </c>
      <c r="F417" s="2">
        <v>49.9</v>
      </c>
      <c r="G417" s="3">
        <v>44465.63047070602</v>
      </c>
    </row>
    <row r="418">
      <c r="A418" s="2">
        <v>0.1</v>
      </c>
      <c r="B418" s="2">
        <v>229.6</v>
      </c>
      <c r="C418" s="2">
        <v>11.2</v>
      </c>
      <c r="D418" s="2">
        <v>6.46</v>
      </c>
      <c r="E418" s="2">
        <v>0.46</v>
      </c>
      <c r="F418" s="2">
        <v>49.9</v>
      </c>
      <c r="G418" s="3">
        <v>44465.63057666666</v>
      </c>
    </row>
    <row r="419">
      <c r="A419" s="2">
        <v>0.11</v>
      </c>
      <c r="B419" s="2">
        <v>230.1</v>
      </c>
      <c r="C419" s="2">
        <v>11.2</v>
      </c>
      <c r="D419" s="2">
        <v>6.46</v>
      </c>
      <c r="E419" s="2">
        <v>0.46</v>
      </c>
      <c r="F419" s="2">
        <v>49.9</v>
      </c>
      <c r="G419" s="3">
        <v>44465.630681724535</v>
      </c>
    </row>
    <row r="420">
      <c r="A420" s="2">
        <v>0.1</v>
      </c>
      <c r="B420" s="2">
        <v>229.9</v>
      </c>
      <c r="C420" s="2">
        <v>11.1</v>
      </c>
      <c r="D420" s="2">
        <v>6.46</v>
      </c>
      <c r="E420" s="2">
        <v>0.46</v>
      </c>
      <c r="F420" s="2">
        <v>50.0</v>
      </c>
      <c r="G420" s="3">
        <v>44465.63078898148</v>
      </c>
    </row>
    <row r="421">
      <c r="A421" s="2">
        <v>0.11</v>
      </c>
      <c r="B421" s="2">
        <v>230.0</v>
      </c>
      <c r="C421" s="2">
        <v>11.2</v>
      </c>
      <c r="D421" s="2">
        <v>6.46</v>
      </c>
      <c r="E421" s="2">
        <v>0.46</v>
      </c>
      <c r="F421" s="2">
        <v>50.0</v>
      </c>
      <c r="G421" s="3">
        <v>44465.630894016205</v>
      </c>
    </row>
    <row r="422">
      <c r="A422" s="2">
        <v>0.11</v>
      </c>
      <c r="B422" s="2">
        <v>230.3</v>
      </c>
      <c r="C422" s="2">
        <v>11.2</v>
      </c>
      <c r="D422" s="2">
        <v>6.46</v>
      </c>
      <c r="E422" s="2">
        <v>0.46</v>
      </c>
      <c r="F422" s="2">
        <v>50.0</v>
      </c>
      <c r="G422" s="3">
        <v>44465.63100271991</v>
      </c>
    </row>
    <row r="423">
      <c r="A423" s="2">
        <v>0.11</v>
      </c>
      <c r="B423" s="2">
        <v>229.8</v>
      </c>
      <c r="C423" s="2">
        <v>11.1</v>
      </c>
      <c r="D423" s="2">
        <v>6.46</v>
      </c>
      <c r="E423" s="2">
        <v>0.46</v>
      </c>
      <c r="F423" s="2">
        <v>50.0</v>
      </c>
      <c r="G423" s="3">
        <v>44465.63111765047</v>
      </c>
    </row>
    <row r="424">
      <c r="A424" s="2">
        <v>0.11</v>
      </c>
      <c r="B424" s="2">
        <v>229.6</v>
      </c>
      <c r="C424" s="2">
        <v>11.2</v>
      </c>
      <c r="D424" s="2">
        <v>6.46</v>
      </c>
      <c r="E424" s="2">
        <v>0.46</v>
      </c>
      <c r="F424" s="2">
        <v>50.0</v>
      </c>
      <c r="G424" s="3">
        <v>44465.63122318287</v>
      </c>
    </row>
    <row r="425">
      <c r="A425" s="2">
        <v>0.11</v>
      </c>
      <c r="B425" s="2">
        <v>230.0</v>
      </c>
      <c r="C425" s="2">
        <v>11.2</v>
      </c>
      <c r="D425" s="2">
        <v>6.46</v>
      </c>
      <c r="E425" s="2">
        <v>0.46</v>
      </c>
      <c r="F425" s="2">
        <v>49.9</v>
      </c>
      <c r="G425" s="3">
        <v>44465.631326435185</v>
      </c>
    </row>
    <row r="426">
      <c r="A426" s="2">
        <v>0.11</v>
      </c>
      <c r="B426" s="2">
        <v>229.6</v>
      </c>
      <c r="C426" s="2">
        <v>11.2</v>
      </c>
      <c r="D426" s="2">
        <v>6.46</v>
      </c>
      <c r="E426" s="2">
        <v>0.46</v>
      </c>
      <c r="F426" s="2">
        <v>50.0</v>
      </c>
      <c r="G426" s="3">
        <v>44465.63142934028</v>
      </c>
    </row>
    <row r="427">
      <c r="A427" s="2">
        <v>0.1</v>
      </c>
      <c r="B427" s="2">
        <v>229.8</v>
      </c>
      <c r="C427" s="2">
        <v>10.5</v>
      </c>
      <c r="D427" s="2">
        <v>6.46</v>
      </c>
      <c r="E427" s="2">
        <v>0.45</v>
      </c>
      <c r="F427" s="2">
        <v>50.0</v>
      </c>
      <c r="G427" s="3">
        <v>44465.63153151621</v>
      </c>
    </row>
    <row r="428">
      <c r="A428" s="2">
        <v>0.1</v>
      </c>
      <c r="B428" s="2">
        <v>229.2</v>
      </c>
      <c r="C428" s="2">
        <v>10.9</v>
      </c>
      <c r="D428" s="2">
        <v>6.46</v>
      </c>
      <c r="E428" s="2">
        <v>0.46</v>
      </c>
      <c r="F428" s="2">
        <v>49.9</v>
      </c>
      <c r="G428" s="3">
        <v>44465.63163847222</v>
      </c>
    </row>
    <row r="429">
      <c r="A429" s="2">
        <v>0.1</v>
      </c>
      <c r="B429" s="2">
        <v>229.3</v>
      </c>
      <c r="C429" s="2">
        <v>10.9</v>
      </c>
      <c r="D429" s="2">
        <v>6.46</v>
      </c>
      <c r="E429" s="2">
        <v>0.46</v>
      </c>
      <c r="F429" s="2">
        <v>49.9</v>
      </c>
      <c r="G429" s="3">
        <v>44465.63174981481</v>
      </c>
    </row>
    <row r="430">
      <c r="A430" s="2">
        <v>0.1</v>
      </c>
      <c r="B430" s="2">
        <v>229.5</v>
      </c>
      <c r="C430" s="2">
        <v>10.4</v>
      </c>
      <c r="D430" s="2">
        <v>6.46</v>
      </c>
      <c r="E430" s="2">
        <v>0.45</v>
      </c>
      <c r="F430" s="2">
        <v>49.9</v>
      </c>
      <c r="G430" s="3">
        <v>44465.631855115746</v>
      </c>
    </row>
    <row r="431">
      <c r="A431" s="2">
        <v>0.1</v>
      </c>
      <c r="B431" s="2">
        <v>229.2</v>
      </c>
      <c r="C431" s="2">
        <v>10.4</v>
      </c>
      <c r="D431" s="2">
        <v>6.46</v>
      </c>
      <c r="E431" s="2">
        <v>0.45</v>
      </c>
      <c r="F431" s="2">
        <v>50.0</v>
      </c>
      <c r="G431" s="3">
        <v>44465.631957453705</v>
      </c>
    </row>
    <row r="432">
      <c r="A432" s="2">
        <v>0.1</v>
      </c>
      <c r="B432" s="2">
        <v>229.2</v>
      </c>
      <c r="C432" s="2">
        <v>10.6</v>
      </c>
      <c r="D432" s="2">
        <v>6.46</v>
      </c>
      <c r="E432" s="2">
        <v>0.46</v>
      </c>
      <c r="F432" s="2">
        <v>49.9</v>
      </c>
      <c r="G432" s="3">
        <v>44465.63206215278</v>
      </c>
    </row>
    <row r="433">
      <c r="A433" s="2">
        <v>0.1</v>
      </c>
      <c r="B433" s="2">
        <v>229.7</v>
      </c>
      <c r="C433" s="2">
        <v>10.5</v>
      </c>
      <c r="D433" s="2">
        <v>6.46</v>
      </c>
      <c r="E433" s="2">
        <v>0.45</v>
      </c>
      <c r="F433" s="2">
        <v>49.9</v>
      </c>
      <c r="G433" s="3">
        <v>44465.632171805555</v>
      </c>
    </row>
    <row r="434">
      <c r="A434" s="2">
        <v>0.1</v>
      </c>
      <c r="B434" s="2">
        <v>229.5</v>
      </c>
      <c r="C434" s="2">
        <v>10.2</v>
      </c>
      <c r="D434" s="2">
        <v>6.46</v>
      </c>
      <c r="E434" s="2">
        <v>0.45</v>
      </c>
      <c r="F434" s="2">
        <v>49.9</v>
      </c>
      <c r="G434" s="3">
        <v>44465.6322762037</v>
      </c>
    </row>
    <row r="435">
      <c r="A435" s="2">
        <v>0.1</v>
      </c>
      <c r="B435" s="2">
        <v>229.5</v>
      </c>
      <c r="C435" s="2">
        <v>10.3</v>
      </c>
      <c r="D435" s="2">
        <v>6.46</v>
      </c>
      <c r="E435" s="2">
        <v>0.45</v>
      </c>
      <c r="F435" s="2">
        <v>49.9</v>
      </c>
      <c r="G435" s="3">
        <v>44465.63238101851</v>
      </c>
    </row>
    <row r="436">
      <c r="A436" s="2">
        <v>0.1</v>
      </c>
      <c r="B436" s="2">
        <v>229.8</v>
      </c>
      <c r="C436" s="2">
        <v>10.3</v>
      </c>
      <c r="D436" s="2">
        <v>6.46</v>
      </c>
      <c r="E436" s="2">
        <v>0.45</v>
      </c>
      <c r="F436" s="2">
        <v>50.0</v>
      </c>
      <c r="G436" s="3">
        <v>44465.63248746528</v>
      </c>
    </row>
    <row r="437">
      <c r="A437" s="2">
        <v>0.1</v>
      </c>
      <c r="B437" s="2">
        <v>229.9</v>
      </c>
      <c r="C437" s="2">
        <v>10.2</v>
      </c>
      <c r="D437" s="2">
        <v>6.46</v>
      </c>
      <c r="E437" s="2">
        <v>0.45</v>
      </c>
      <c r="F437" s="2">
        <v>50.0</v>
      </c>
      <c r="G437" s="3">
        <v>44465.632692280094</v>
      </c>
    </row>
    <row r="438">
      <c r="A438" s="2">
        <v>0.1</v>
      </c>
      <c r="B438" s="2">
        <v>229.2</v>
      </c>
      <c r="C438" s="2">
        <v>9.7</v>
      </c>
      <c r="D438" s="2">
        <v>6.46</v>
      </c>
      <c r="E438" s="2">
        <v>0.44</v>
      </c>
      <c r="F438" s="2">
        <v>49.9</v>
      </c>
      <c r="G438" s="3">
        <v>44465.63288148148</v>
      </c>
    </row>
    <row r="439">
      <c r="A439" s="2">
        <v>0.1</v>
      </c>
      <c r="B439" s="2">
        <v>229.6</v>
      </c>
      <c r="C439" s="2">
        <v>9.8</v>
      </c>
      <c r="D439" s="2">
        <v>6.46</v>
      </c>
      <c r="E439" s="2">
        <v>0.44</v>
      </c>
      <c r="F439" s="2">
        <v>50.0</v>
      </c>
      <c r="G439" s="3">
        <v>44465.63299158565</v>
      </c>
    </row>
    <row r="440">
      <c r="A440" s="2">
        <v>0.09</v>
      </c>
      <c r="B440" s="2">
        <v>229.5</v>
      </c>
      <c r="C440" s="2">
        <v>9.7</v>
      </c>
      <c r="D440" s="2">
        <v>6.46</v>
      </c>
      <c r="E440" s="2">
        <v>0.44</v>
      </c>
      <c r="F440" s="2">
        <v>49.9</v>
      </c>
      <c r="G440" s="3">
        <v>44465.633104872686</v>
      </c>
    </row>
    <row r="441">
      <c r="A441" s="2">
        <v>0.09</v>
      </c>
      <c r="B441" s="2">
        <v>229.3</v>
      </c>
      <c r="C441" s="2">
        <v>9.7</v>
      </c>
      <c r="D441" s="2">
        <v>6.46</v>
      </c>
      <c r="E441" s="2">
        <v>0.45</v>
      </c>
      <c r="F441" s="2">
        <v>49.9</v>
      </c>
      <c r="G441" s="3">
        <v>44465.633293067134</v>
      </c>
    </row>
    <row r="442">
      <c r="A442" s="2">
        <v>0.09</v>
      </c>
      <c r="B442" s="2">
        <v>229.5</v>
      </c>
      <c r="C442" s="2">
        <v>9.7</v>
      </c>
      <c r="D442" s="2">
        <v>6.46</v>
      </c>
      <c r="E442" s="2">
        <v>0.44</v>
      </c>
      <c r="F442" s="2">
        <v>50.0</v>
      </c>
      <c r="G442" s="3">
        <v>44465.633432187504</v>
      </c>
    </row>
    <row r="443">
      <c r="A443" s="2">
        <v>0.09</v>
      </c>
      <c r="B443" s="2">
        <v>229.4</v>
      </c>
      <c r="C443" s="2">
        <v>9.6</v>
      </c>
      <c r="D443" s="2">
        <v>6.46</v>
      </c>
      <c r="E443" s="2">
        <v>0.45</v>
      </c>
      <c r="F443" s="2">
        <v>50.0</v>
      </c>
      <c r="G443" s="3">
        <v>44465.63353719907</v>
      </c>
    </row>
    <row r="444">
      <c r="A444" s="2">
        <v>0.09</v>
      </c>
      <c r="B444" s="2">
        <v>229.4</v>
      </c>
      <c r="C444" s="2">
        <v>9.6</v>
      </c>
      <c r="D444" s="2">
        <v>6.46</v>
      </c>
      <c r="E444" s="2">
        <v>0.45</v>
      </c>
      <c r="F444" s="2">
        <v>50.0</v>
      </c>
      <c r="G444" s="3">
        <v>44465.633642835644</v>
      </c>
    </row>
    <row r="445">
      <c r="A445" s="2">
        <v>0.09</v>
      </c>
      <c r="B445" s="2">
        <v>229.3</v>
      </c>
      <c r="C445" s="2">
        <v>9.8</v>
      </c>
      <c r="D445" s="2">
        <v>6.46</v>
      </c>
      <c r="E445" s="2">
        <v>0.45</v>
      </c>
      <c r="F445" s="2">
        <v>50.0</v>
      </c>
      <c r="G445" s="3">
        <v>44465.633749409724</v>
      </c>
    </row>
    <row r="446">
      <c r="A446" s="2">
        <v>0.1</v>
      </c>
      <c r="B446" s="2">
        <v>229.4</v>
      </c>
      <c r="C446" s="2">
        <v>9.8</v>
      </c>
      <c r="D446" s="2">
        <v>6.46</v>
      </c>
      <c r="E446" s="2">
        <v>0.45</v>
      </c>
      <c r="F446" s="2">
        <v>50.0</v>
      </c>
      <c r="G446" s="3">
        <v>44465.63385341435</v>
      </c>
    </row>
    <row r="447">
      <c r="A447" s="2">
        <v>0.09</v>
      </c>
      <c r="B447" s="2">
        <v>228.9</v>
      </c>
      <c r="C447" s="2">
        <v>9.6</v>
      </c>
      <c r="D447" s="2">
        <v>6.46</v>
      </c>
      <c r="E447" s="2">
        <v>0.45</v>
      </c>
      <c r="F447" s="2">
        <v>49.9</v>
      </c>
      <c r="G447" s="3">
        <v>44465.6339599537</v>
      </c>
    </row>
    <row r="448">
      <c r="A448" s="2">
        <v>0.09</v>
      </c>
      <c r="B448" s="2">
        <v>229.2</v>
      </c>
      <c r="C448" s="2">
        <v>9.6</v>
      </c>
      <c r="D448" s="2">
        <v>6.46</v>
      </c>
      <c r="E448" s="2">
        <v>0.45</v>
      </c>
      <c r="F448" s="2">
        <v>50.0</v>
      </c>
      <c r="G448" s="3">
        <v>44465.63406311342</v>
      </c>
    </row>
    <row r="449">
      <c r="A449" s="2">
        <v>0.07</v>
      </c>
      <c r="B449" s="2">
        <v>229.3</v>
      </c>
      <c r="C449" s="2">
        <v>7.0</v>
      </c>
      <c r="D449" s="2">
        <v>6.46</v>
      </c>
      <c r="E449" s="2">
        <v>0.41</v>
      </c>
      <c r="F449" s="2">
        <v>50.0</v>
      </c>
      <c r="G449" s="3">
        <v>44465.634167638884</v>
      </c>
    </row>
    <row r="450">
      <c r="A450" s="2">
        <v>0.08</v>
      </c>
      <c r="B450" s="2">
        <v>229.1</v>
      </c>
      <c r="C450" s="2">
        <v>7.2</v>
      </c>
      <c r="D450" s="2">
        <v>6.46</v>
      </c>
      <c r="E450" s="2">
        <v>0.42</v>
      </c>
      <c r="F450" s="2">
        <v>50.0</v>
      </c>
      <c r="G450" s="3">
        <v>44465.63431298611</v>
      </c>
    </row>
    <row r="451">
      <c r="A451" s="2">
        <v>0.07</v>
      </c>
      <c r="B451" s="2">
        <v>229.3</v>
      </c>
      <c r="C451" s="2">
        <v>7.0</v>
      </c>
      <c r="D451" s="2">
        <v>6.46</v>
      </c>
      <c r="E451" s="2">
        <v>0.41</v>
      </c>
      <c r="F451" s="2">
        <v>50.0</v>
      </c>
      <c r="G451" s="3">
        <v>44465.634419560185</v>
      </c>
    </row>
    <row r="452">
      <c r="A452" s="2">
        <v>0.08</v>
      </c>
      <c r="B452" s="2">
        <v>229.4</v>
      </c>
      <c r="C452" s="2">
        <v>7.2</v>
      </c>
      <c r="D452" s="2">
        <v>6.46</v>
      </c>
      <c r="E452" s="2">
        <v>0.42</v>
      </c>
      <c r="F452" s="2">
        <v>50.0</v>
      </c>
      <c r="G452" s="3">
        <v>44465.63455054398</v>
      </c>
    </row>
    <row r="453">
      <c r="A453" s="2">
        <v>0.08</v>
      </c>
      <c r="B453" s="2">
        <v>229.3</v>
      </c>
      <c r="C453" s="2">
        <v>7.1</v>
      </c>
      <c r="D453" s="2">
        <v>6.46</v>
      </c>
      <c r="E453" s="2">
        <v>0.41</v>
      </c>
      <c r="F453" s="2">
        <v>50.0</v>
      </c>
      <c r="G453" s="3">
        <v>44465.634999155096</v>
      </c>
    </row>
    <row r="454">
      <c r="A454" s="2">
        <v>0.08</v>
      </c>
      <c r="B454" s="2">
        <v>228.8</v>
      </c>
      <c r="C454" s="2">
        <v>7.1</v>
      </c>
      <c r="D454" s="2">
        <v>6.46</v>
      </c>
      <c r="E454" s="2">
        <v>0.41</v>
      </c>
      <c r="F454" s="2">
        <v>49.9</v>
      </c>
      <c r="G454" s="3">
        <v>44465.63514334491</v>
      </c>
    </row>
    <row r="455">
      <c r="A455" s="2">
        <v>0.08</v>
      </c>
      <c r="B455" s="2">
        <v>228.9</v>
      </c>
      <c r="C455" s="2">
        <v>7.4</v>
      </c>
      <c r="D455" s="2">
        <v>6.46</v>
      </c>
      <c r="E455" s="2">
        <v>0.42</v>
      </c>
      <c r="F455" s="2">
        <v>49.9</v>
      </c>
      <c r="G455" s="3">
        <v>44465.63525195602</v>
      </c>
    </row>
    <row r="456">
      <c r="A456" s="2">
        <v>0.08</v>
      </c>
      <c r="B456" s="2">
        <v>229.1</v>
      </c>
      <c r="C456" s="2">
        <v>7.2</v>
      </c>
      <c r="D456" s="2">
        <v>6.46</v>
      </c>
      <c r="E456" s="2">
        <v>0.42</v>
      </c>
      <c r="F456" s="2">
        <v>49.9</v>
      </c>
      <c r="G456" s="3">
        <v>44465.63535993056</v>
      </c>
    </row>
    <row r="457">
      <c r="A457" s="2">
        <v>0.07</v>
      </c>
      <c r="B457" s="2">
        <v>229.1</v>
      </c>
      <c r="C457" s="2">
        <v>6.9</v>
      </c>
      <c r="D457" s="2">
        <v>6.46</v>
      </c>
      <c r="E457" s="2">
        <v>0.41</v>
      </c>
      <c r="F457" s="2">
        <v>50.0</v>
      </c>
      <c r="G457" s="3">
        <v>44465.635470451394</v>
      </c>
    </row>
    <row r="458">
      <c r="A458" s="2">
        <v>0.07</v>
      </c>
      <c r="B458" s="2">
        <v>229.3</v>
      </c>
      <c r="C458" s="2">
        <v>7.0</v>
      </c>
      <c r="D458" s="2">
        <v>6.46</v>
      </c>
      <c r="E458" s="2">
        <v>0.41</v>
      </c>
      <c r="F458" s="2">
        <v>49.9</v>
      </c>
      <c r="G458" s="3">
        <v>44465.635604826384</v>
      </c>
    </row>
    <row r="459">
      <c r="A459" s="2">
        <v>0.05</v>
      </c>
      <c r="B459" s="2">
        <v>229.4</v>
      </c>
      <c r="C459" s="2">
        <v>3.5</v>
      </c>
      <c r="D459" s="2">
        <v>6.46</v>
      </c>
      <c r="E459" s="2">
        <v>0.31</v>
      </c>
      <c r="F459" s="2">
        <v>50.0</v>
      </c>
      <c r="G459" s="3">
        <v>44465.63571121528</v>
      </c>
    </row>
    <row r="460">
      <c r="A460" s="2">
        <v>0.04</v>
      </c>
      <c r="B460" s="2">
        <v>229.4</v>
      </c>
      <c r="C460" s="2">
        <v>0.5</v>
      </c>
      <c r="D460" s="2">
        <v>6.46</v>
      </c>
      <c r="E460" s="2">
        <v>0.06</v>
      </c>
      <c r="F460" s="2">
        <v>50.0</v>
      </c>
      <c r="G460" s="3">
        <v>44465.63581673611</v>
      </c>
    </row>
    <row r="461">
      <c r="A461" s="2">
        <v>0.04</v>
      </c>
      <c r="B461" s="2">
        <v>229.6</v>
      </c>
      <c r="C461" s="2">
        <v>0.6</v>
      </c>
      <c r="D461" s="2">
        <v>6.46</v>
      </c>
      <c r="E461" s="2">
        <v>0.07</v>
      </c>
      <c r="F461" s="2">
        <v>50.0</v>
      </c>
      <c r="G461" s="3">
        <v>44465.63592141204</v>
      </c>
    </row>
    <row r="462">
      <c r="A462" s="2">
        <v>0.04</v>
      </c>
      <c r="B462" s="2">
        <v>229.9</v>
      </c>
      <c r="C462" s="2">
        <v>0.5</v>
      </c>
      <c r="D462" s="2">
        <v>6.46</v>
      </c>
      <c r="E462" s="2">
        <v>0.06</v>
      </c>
      <c r="F462" s="2">
        <v>50.0</v>
      </c>
      <c r="G462" s="3">
        <v>44465.63606289352</v>
      </c>
    </row>
    <row r="463">
      <c r="A463" s="2">
        <v>0.04</v>
      </c>
      <c r="B463" s="2">
        <v>229.8</v>
      </c>
      <c r="C463" s="2">
        <v>0.5</v>
      </c>
      <c r="D463" s="2">
        <v>6.46</v>
      </c>
      <c r="E463" s="2">
        <v>0.06</v>
      </c>
      <c r="F463" s="2">
        <v>49.9</v>
      </c>
      <c r="G463" s="3">
        <v>44465.6361774074</v>
      </c>
    </row>
    <row r="464">
      <c r="A464" s="2">
        <v>0.04</v>
      </c>
      <c r="B464" s="2">
        <v>229.3</v>
      </c>
      <c r="C464" s="2">
        <v>0.6</v>
      </c>
      <c r="D464" s="2">
        <v>6.46</v>
      </c>
      <c r="E464" s="2">
        <v>0.07</v>
      </c>
      <c r="F464" s="2">
        <v>49.9</v>
      </c>
      <c r="G464" s="3">
        <v>44465.63628203704</v>
      </c>
    </row>
    <row r="465">
      <c r="A465" s="2">
        <v>0.04</v>
      </c>
      <c r="B465" s="2">
        <v>229.3</v>
      </c>
      <c r="C465" s="2">
        <v>0.6</v>
      </c>
      <c r="D465" s="2">
        <v>6.46</v>
      </c>
      <c r="E465" s="2">
        <v>0.07</v>
      </c>
      <c r="F465" s="2">
        <v>49.9</v>
      </c>
      <c r="G465" s="3">
        <v>44465.63638578704</v>
      </c>
    </row>
    <row r="466">
      <c r="A466" s="2">
        <v>0.04</v>
      </c>
      <c r="B466" s="2">
        <v>229.5</v>
      </c>
      <c r="C466" s="2">
        <v>0.6</v>
      </c>
      <c r="D466" s="2">
        <v>6.46</v>
      </c>
      <c r="E466" s="2">
        <v>0.07</v>
      </c>
      <c r="F466" s="2">
        <v>49.9</v>
      </c>
      <c r="G466" s="3">
        <v>44465.636788460644</v>
      </c>
    </row>
    <row r="467">
      <c r="A467" s="2">
        <v>0.07</v>
      </c>
      <c r="B467" s="2">
        <v>229.2</v>
      </c>
      <c r="C467" s="2">
        <v>6.2</v>
      </c>
      <c r="D467" s="2">
        <v>6.46</v>
      </c>
      <c r="E467" s="2">
        <v>0.4</v>
      </c>
      <c r="F467" s="2">
        <v>49.9</v>
      </c>
      <c r="G467" s="3">
        <v>44465.6369119213</v>
      </c>
    </row>
    <row r="468">
      <c r="A468" s="2">
        <v>0.07</v>
      </c>
      <c r="B468" s="2">
        <v>229.2</v>
      </c>
      <c r="C468" s="2">
        <v>6.2</v>
      </c>
      <c r="D468" s="2">
        <v>6.46</v>
      </c>
      <c r="E468" s="2">
        <v>0.4</v>
      </c>
      <c r="F468" s="2">
        <v>49.9</v>
      </c>
      <c r="G468" s="3">
        <v>44465.63702579861</v>
      </c>
    </row>
    <row r="469">
      <c r="A469" s="2">
        <v>0.07</v>
      </c>
      <c r="B469" s="2">
        <v>229.0</v>
      </c>
      <c r="C469" s="2">
        <v>6.2</v>
      </c>
      <c r="D469" s="2">
        <v>6.46</v>
      </c>
      <c r="E469" s="2">
        <v>0.4</v>
      </c>
      <c r="F469" s="2">
        <v>49.9</v>
      </c>
      <c r="G469" s="3">
        <v>44465.63712855324</v>
      </c>
    </row>
    <row r="470">
      <c r="A470" s="2">
        <v>0.07</v>
      </c>
      <c r="B470" s="2">
        <v>229.0</v>
      </c>
      <c r="C470" s="2">
        <v>6.3</v>
      </c>
      <c r="D470" s="2">
        <v>6.46</v>
      </c>
      <c r="E470" s="2">
        <v>0.4</v>
      </c>
      <c r="F470" s="2">
        <v>49.9</v>
      </c>
      <c r="G470" s="3">
        <v>44465.637235925926</v>
      </c>
    </row>
    <row r="471">
      <c r="A471" s="2">
        <v>0.07</v>
      </c>
      <c r="B471" s="2">
        <v>229.2</v>
      </c>
      <c r="C471" s="2">
        <v>6.2</v>
      </c>
      <c r="D471" s="2">
        <v>6.46</v>
      </c>
      <c r="E471" s="2">
        <v>0.4</v>
      </c>
      <c r="F471" s="2">
        <v>49.9</v>
      </c>
      <c r="G471" s="3">
        <v>44465.63734016204</v>
      </c>
    </row>
    <row r="472">
      <c r="A472" s="2">
        <v>0.07</v>
      </c>
      <c r="B472" s="2">
        <v>229.0</v>
      </c>
      <c r="C472" s="2">
        <v>6.2</v>
      </c>
      <c r="D472" s="2">
        <v>6.46</v>
      </c>
      <c r="E472" s="2">
        <v>0.4</v>
      </c>
      <c r="F472" s="2">
        <v>50.0</v>
      </c>
      <c r="G472" s="3">
        <v>44465.637443217594</v>
      </c>
    </row>
    <row r="473">
      <c r="A473" s="2">
        <v>0.07</v>
      </c>
      <c r="B473" s="2">
        <v>228.9</v>
      </c>
      <c r="C473" s="2">
        <v>6.3</v>
      </c>
      <c r="D473" s="2">
        <v>6.46</v>
      </c>
      <c r="E473" s="2">
        <v>0.4</v>
      </c>
      <c r="F473" s="2">
        <v>50.0</v>
      </c>
      <c r="G473" s="3">
        <v>44465.637545335645</v>
      </c>
    </row>
    <row r="474">
      <c r="A474" s="2">
        <v>0.07</v>
      </c>
      <c r="B474" s="2">
        <v>229.0</v>
      </c>
      <c r="C474" s="2">
        <v>6.2</v>
      </c>
      <c r="D474" s="2">
        <v>6.46</v>
      </c>
      <c r="E474" s="2">
        <v>0.4</v>
      </c>
      <c r="F474" s="2">
        <v>50.0</v>
      </c>
      <c r="G474" s="3">
        <v>44465.63764863426</v>
      </c>
    </row>
    <row r="475">
      <c r="A475" s="2">
        <v>0.07</v>
      </c>
      <c r="B475" s="2">
        <v>229.0</v>
      </c>
      <c r="C475" s="2">
        <v>6.2</v>
      </c>
      <c r="D475" s="2">
        <v>6.46</v>
      </c>
      <c r="E475" s="2">
        <v>0.4</v>
      </c>
      <c r="F475" s="2">
        <v>50.0</v>
      </c>
      <c r="G475" s="3">
        <v>44465.63775525463</v>
      </c>
    </row>
    <row r="476">
      <c r="A476" s="2">
        <v>0.07</v>
      </c>
      <c r="B476" s="2">
        <v>229.1</v>
      </c>
      <c r="C476" s="2">
        <v>6.3</v>
      </c>
      <c r="D476" s="2">
        <v>6.46</v>
      </c>
      <c r="E476" s="2">
        <v>0.4</v>
      </c>
      <c r="F476" s="2">
        <v>50.0</v>
      </c>
      <c r="G476" s="3">
        <v>44465.637864386576</v>
      </c>
    </row>
    <row r="477">
      <c r="A477" s="2">
        <v>0.07</v>
      </c>
      <c r="B477" s="2">
        <v>229.2</v>
      </c>
      <c r="C477" s="2">
        <v>6.3</v>
      </c>
      <c r="D477" s="2">
        <v>6.46</v>
      </c>
      <c r="E477" s="2">
        <v>0.4</v>
      </c>
      <c r="F477" s="2">
        <v>50.0</v>
      </c>
      <c r="G477" s="3">
        <v>44465.63797019676</v>
      </c>
    </row>
    <row r="478">
      <c r="A478" s="2">
        <v>0.07</v>
      </c>
      <c r="B478" s="2">
        <v>229.3</v>
      </c>
      <c r="C478" s="2">
        <v>6.2</v>
      </c>
      <c r="D478" s="2">
        <v>6.46</v>
      </c>
      <c r="E478" s="2">
        <v>0.4</v>
      </c>
      <c r="F478" s="2">
        <v>50.0</v>
      </c>
      <c r="G478" s="3">
        <v>44465.63808114584</v>
      </c>
    </row>
    <row r="479">
      <c r="A479" s="2">
        <v>0.07</v>
      </c>
      <c r="B479" s="2">
        <v>229.3</v>
      </c>
      <c r="C479" s="2">
        <v>6.3</v>
      </c>
      <c r="D479" s="2">
        <v>6.46</v>
      </c>
      <c r="E479" s="2">
        <v>0.4</v>
      </c>
      <c r="F479" s="2">
        <v>50.0</v>
      </c>
      <c r="G479" s="3">
        <v>44465.63819200231</v>
      </c>
    </row>
    <row r="480">
      <c r="A480" s="2">
        <v>0.07</v>
      </c>
      <c r="B480" s="2">
        <v>229.3</v>
      </c>
      <c r="C480" s="2">
        <v>6.3</v>
      </c>
      <c r="D480" s="2">
        <v>6.46</v>
      </c>
      <c r="E480" s="2">
        <v>0.4</v>
      </c>
      <c r="F480" s="2">
        <v>50.0</v>
      </c>
      <c r="G480" s="3">
        <v>44465.63830145833</v>
      </c>
    </row>
    <row r="481">
      <c r="A481" s="2">
        <v>0.07</v>
      </c>
      <c r="B481" s="2">
        <v>229.5</v>
      </c>
      <c r="C481" s="2">
        <v>6.2</v>
      </c>
      <c r="D481" s="2">
        <v>6.46</v>
      </c>
      <c r="E481" s="2">
        <v>0.4</v>
      </c>
      <c r="F481" s="2">
        <v>50.0</v>
      </c>
      <c r="G481" s="3">
        <v>44465.638407754624</v>
      </c>
    </row>
    <row r="482">
      <c r="A482" s="2">
        <v>0.07</v>
      </c>
      <c r="B482" s="2">
        <v>229.5</v>
      </c>
      <c r="C482" s="2">
        <v>6.2</v>
      </c>
      <c r="D482" s="2">
        <v>6.46</v>
      </c>
      <c r="E482" s="2">
        <v>0.4</v>
      </c>
      <c r="F482" s="2">
        <v>50.0</v>
      </c>
      <c r="G482" s="3">
        <v>44465.63851181713</v>
      </c>
    </row>
    <row r="483">
      <c r="A483" s="2">
        <v>0.07</v>
      </c>
      <c r="B483" s="2">
        <v>229.7</v>
      </c>
      <c r="C483" s="2">
        <v>6.2</v>
      </c>
      <c r="D483" s="2">
        <v>6.46</v>
      </c>
      <c r="E483" s="2">
        <v>0.4</v>
      </c>
      <c r="F483" s="2">
        <v>50.0</v>
      </c>
      <c r="G483" s="3">
        <v>44465.638619606485</v>
      </c>
    </row>
    <row r="484">
      <c r="A484" s="2">
        <v>0.07</v>
      </c>
      <c r="B484" s="2">
        <v>229.6</v>
      </c>
      <c r="C484" s="2">
        <v>6.2</v>
      </c>
      <c r="D484" s="2">
        <v>6.46</v>
      </c>
      <c r="E484" s="2">
        <v>0.4</v>
      </c>
      <c r="F484" s="2">
        <v>50.0</v>
      </c>
      <c r="G484" s="3">
        <v>44465.638731122686</v>
      </c>
    </row>
    <row r="485">
      <c r="A485" s="2">
        <v>0.07</v>
      </c>
      <c r="B485" s="2">
        <v>229.5</v>
      </c>
      <c r="C485" s="2">
        <v>6.3</v>
      </c>
      <c r="D485" s="2">
        <v>6.46</v>
      </c>
      <c r="E485" s="2">
        <v>0.4</v>
      </c>
      <c r="F485" s="2">
        <v>50.0</v>
      </c>
      <c r="G485" s="3">
        <v>44465.63886039352</v>
      </c>
    </row>
    <row r="486">
      <c r="A486" s="2">
        <v>0.07</v>
      </c>
      <c r="B486" s="2">
        <v>229.6</v>
      </c>
      <c r="C486" s="2">
        <v>6.2</v>
      </c>
      <c r="D486" s="2">
        <v>6.46</v>
      </c>
      <c r="E486" s="2">
        <v>0.4</v>
      </c>
      <c r="F486" s="2">
        <v>50.0</v>
      </c>
      <c r="G486" s="3">
        <v>44465.63896270833</v>
      </c>
    </row>
    <row r="487">
      <c r="A487" s="2">
        <v>0.07</v>
      </c>
      <c r="B487" s="2">
        <v>229.8</v>
      </c>
      <c r="C487" s="2">
        <v>6.2</v>
      </c>
      <c r="D487" s="2">
        <v>6.46</v>
      </c>
      <c r="E487" s="2">
        <v>0.4</v>
      </c>
      <c r="F487" s="2">
        <v>50.0</v>
      </c>
      <c r="G487" s="3">
        <v>44465.639067199074</v>
      </c>
    </row>
    <row r="488">
      <c r="A488" s="2">
        <v>0.07</v>
      </c>
      <c r="B488" s="2">
        <v>229.9</v>
      </c>
      <c r="C488" s="2">
        <v>6.2</v>
      </c>
      <c r="D488" s="2">
        <v>6.46</v>
      </c>
      <c r="E488" s="2">
        <v>0.4</v>
      </c>
      <c r="F488" s="2">
        <v>50.0</v>
      </c>
      <c r="G488" s="3">
        <v>44465.639171030096</v>
      </c>
    </row>
    <row r="489">
      <c r="A489" s="2">
        <v>0.07</v>
      </c>
      <c r="B489" s="2">
        <v>229.9</v>
      </c>
      <c r="C489" s="2">
        <v>6.3</v>
      </c>
      <c r="D489" s="2">
        <v>6.46</v>
      </c>
      <c r="E489" s="2">
        <v>0.4</v>
      </c>
      <c r="F489" s="2">
        <v>50.0</v>
      </c>
      <c r="G489" s="3">
        <v>44465.639273622684</v>
      </c>
    </row>
    <row r="490">
      <c r="A490" s="2">
        <v>0.07</v>
      </c>
      <c r="B490" s="2">
        <v>229.9</v>
      </c>
      <c r="C490" s="2">
        <v>6.2</v>
      </c>
      <c r="D490" s="2">
        <v>6.46</v>
      </c>
      <c r="E490" s="2">
        <v>0.4</v>
      </c>
      <c r="F490" s="2">
        <v>50.0</v>
      </c>
      <c r="G490" s="3">
        <v>44465.63938060185</v>
      </c>
    </row>
    <row r="491">
      <c r="A491" s="2">
        <v>0.07</v>
      </c>
      <c r="B491" s="2">
        <v>230.1</v>
      </c>
      <c r="C491" s="2">
        <v>6.2</v>
      </c>
      <c r="D491" s="2">
        <v>6.46</v>
      </c>
      <c r="E491" s="2">
        <v>0.4</v>
      </c>
      <c r="F491" s="2">
        <v>50.0</v>
      </c>
      <c r="G491" s="3">
        <v>44465.63949780093</v>
      </c>
    </row>
    <row r="492">
      <c r="A492" s="2">
        <v>0.07</v>
      </c>
      <c r="B492" s="2">
        <v>230.1</v>
      </c>
      <c r="C492" s="2">
        <v>6.2</v>
      </c>
      <c r="D492" s="2">
        <v>6.46</v>
      </c>
      <c r="E492" s="2">
        <v>0.4</v>
      </c>
      <c r="F492" s="2">
        <v>50.0</v>
      </c>
      <c r="G492" s="3">
        <v>44465.63961153935</v>
      </c>
    </row>
    <row r="493">
      <c r="A493" s="2">
        <v>0.07</v>
      </c>
      <c r="B493" s="2">
        <v>229.9</v>
      </c>
      <c r="C493" s="2">
        <v>6.7</v>
      </c>
      <c r="D493" s="2">
        <v>6.46</v>
      </c>
      <c r="E493" s="2">
        <v>0.41</v>
      </c>
      <c r="F493" s="2">
        <v>50.0</v>
      </c>
      <c r="G493" s="3">
        <v>44465.63995990741</v>
      </c>
    </row>
    <row r="494">
      <c r="A494" s="2">
        <v>0.08</v>
      </c>
      <c r="B494" s="2">
        <v>230.2</v>
      </c>
      <c r="C494" s="2">
        <v>8.3</v>
      </c>
      <c r="D494" s="2">
        <v>6.46</v>
      </c>
      <c r="E494" s="2">
        <v>0.43</v>
      </c>
      <c r="F494" s="2">
        <v>50.0</v>
      </c>
      <c r="G494" s="3">
        <v>44465.640076192125</v>
      </c>
    </row>
    <row r="495">
      <c r="A495" s="2">
        <v>0.08</v>
      </c>
      <c r="B495" s="2">
        <v>230.2</v>
      </c>
      <c r="C495" s="2">
        <v>8.4</v>
      </c>
      <c r="D495" s="2">
        <v>6.46</v>
      </c>
      <c r="E495" s="2">
        <v>0.44</v>
      </c>
      <c r="F495" s="2">
        <v>50.0</v>
      </c>
      <c r="G495" s="3">
        <v>44465.64032827546</v>
      </c>
    </row>
    <row r="496">
      <c r="A496" s="2">
        <v>0.09</v>
      </c>
      <c r="B496" s="2">
        <v>230.1</v>
      </c>
      <c r="C496" s="2">
        <v>8.7</v>
      </c>
      <c r="D496" s="2">
        <v>6.46</v>
      </c>
      <c r="E496" s="2">
        <v>0.44</v>
      </c>
      <c r="F496" s="2">
        <v>50.0</v>
      </c>
      <c r="G496" s="3">
        <v>44465.64044487268</v>
      </c>
    </row>
    <row r="497">
      <c r="A497" s="2">
        <v>0.08</v>
      </c>
      <c r="B497" s="2">
        <v>229.8</v>
      </c>
      <c r="C497" s="2">
        <v>8.4</v>
      </c>
      <c r="D497" s="2">
        <v>6.46</v>
      </c>
      <c r="E497" s="2">
        <v>0.44</v>
      </c>
      <c r="F497" s="2">
        <v>50.0</v>
      </c>
      <c r="G497" s="3">
        <v>44465.640549710646</v>
      </c>
    </row>
    <row r="498">
      <c r="A498" s="2">
        <v>0.04</v>
      </c>
      <c r="B498" s="2">
        <v>230.1</v>
      </c>
      <c r="C498" s="2">
        <v>1.3</v>
      </c>
      <c r="D498" s="2">
        <v>6.46</v>
      </c>
      <c r="E498" s="2">
        <v>0.14</v>
      </c>
      <c r="F498" s="2">
        <v>50.0</v>
      </c>
      <c r="G498" s="3">
        <v>44465.64065601851</v>
      </c>
    </row>
    <row r="499">
      <c r="A499" s="2">
        <v>0.04</v>
      </c>
      <c r="B499" s="2">
        <v>230.1</v>
      </c>
      <c r="C499" s="2">
        <v>0.0</v>
      </c>
      <c r="D499" s="2">
        <v>6.46</v>
      </c>
      <c r="E499" s="2">
        <v>0.0</v>
      </c>
      <c r="F499" s="2">
        <v>50.0</v>
      </c>
      <c r="G499" s="3">
        <v>44465.64076430556</v>
      </c>
    </row>
    <row r="500">
      <c r="A500" s="2">
        <v>0.04</v>
      </c>
      <c r="B500" s="2">
        <v>230.3</v>
      </c>
      <c r="C500" s="2">
        <v>0.0</v>
      </c>
      <c r="D500" s="2">
        <v>6.46</v>
      </c>
      <c r="E500" s="2">
        <v>0.0</v>
      </c>
      <c r="F500" s="2">
        <v>50.0</v>
      </c>
      <c r="G500" s="3">
        <v>44465.64093686343</v>
      </c>
    </row>
    <row r="501">
      <c r="A501" s="2">
        <v>0.03</v>
      </c>
      <c r="B501" s="2">
        <v>230.3</v>
      </c>
      <c r="C501" s="2">
        <v>0.0</v>
      </c>
      <c r="D501" s="2">
        <v>6.46</v>
      </c>
      <c r="E501" s="2">
        <v>0.0</v>
      </c>
      <c r="F501" s="2">
        <v>50.0</v>
      </c>
      <c r="G501" s="3">
        <v>44465.641055625005</v>
      </c>
    </row>
    <row r="502">
      <c r="A502" s="2">
        <v>0.04</v>
      </c>
      <c r="B502" s="2">
        <v>230.2</v>
      </c>
      <c r="C502" s="2">
        <v>0.0</v>
      </c>
      <c r="D502" s="2">
        <v>6.46</v>
      </c>
      <c r="E502" s="2">
        <v>0.0</v>
      </c>
      <c r="F502" s="2">
        <v>50.0</v>
      </c>
      <c r="G502" s="3">
        <v>44465.64116322917</v>
      </c>
    </row>
    <row r="503">
      <c r="A503" s="2">
        <v>0.07</v>
      </c>
      <c r="B503" s="2">
        <v>230.2</v>
      </c>
      <c r="C503" s="2">
        <v>6.2</v>
      </c>
      <c r="D503" s="2">
        <v>6.46</v>
      </c>
      <c r="E503" s="2">
        <v>0.41</v>
      </c>
      <c r="F503" s="2">
        <v>50.0</v>
      </c>
      <c r="G503" s="3">
        <v>44465.64127400463</v>
      </c>
    </row>
    <row r="504">
      <c r="A504" s="2">
        <v>0.06</v>
      </c>
      <c r="B504" s="2">
        <v>230.0</v>
      </c>
      <c r="C504" s="2">
        <v>6.2</v>
      </c>
      <c r="D504" s="2">
        <v>6.46</v>
      </c>
      <c r="E504" s="2">
        <v>0.41</v>
      </c>
      <c r="F504" s="2">
        <v>50.0</v>
      </c>
      <c r="G504" s="3">
        <v>44465.641388703705</v>
      </c>
    </row>
    <row r="505">
      <c r="A505" s="2">
        <v>0.06</v>
      </c>
      <c r="B505" s="2">
        <v>230.2</v>
      </c>
      <c r="C505" s="2">
        <v>6.2</v>
      </c>
      <c r="D505" s="2">
        <v>6.46</v>
      </c>
      <c r="E505" s="2">
        <v>0.41</v>
      </c>
      <c r="F505" s="2">
        <v>50.0</v>
      </c>
      <c r="G505" s="3">
        <v>44465.64149738426</v>
      </c>
    </row>
    <row r="506">
      <c r="A506" s="2">
        <v>0.07</v>
      </c>
      <c r="B506" s="2">
        <v>230.0</v>
      </c>
      <c r="C506" s="2">
        <v>6.3</v>
      </c>
      <c r="D506" s="2">
        <v>6.46</v>
      </c>
      <c r="E506" s="2">
        <v>0.42</v>
      </c>
      <c r="F506" s="2">
        <v>50.0</v>
      </c>
      <c r="G506" s="3">
        <v>44465.64160004629</v>
      </c>
    </row>
    <row r="507">
      <c r="A507" s="2">
        <v>0.07</v>
      </c>
      <c r="B507" s="2">
        <v>229.7</v>
      </c>
      <c r="C507" s="2">
        <v>6.3</v>
      </c>
      <c r="D507" s="2">
        <v>6.46</v>
      </c>
      <c r="E507" s="2">
        <v>0.42</v>
      </c>
      <c r="F507" s="2">
        <v>50.0</v>
      </c>
      <c r="G507" s="3">
        <v>44465.64170126157</v>
      </c>
    </row>
    <row r="508">
      <c r="A508" s="2">
        <v>0.07</v>
      </c>
      <c r="B508" s="2">
        <v>229.5</v>
      </c>
      <c r="C508" s="2">
        <v>6.2</v>
      </c>
      <c r="D508" s="2">
        <v>6.46</v>
      </c>
      <c r="E508" s="2">
        <v>0.41</v>
      </c>
      <c r="F508" s="2">
        <v>50.0</v>
      </c>
      <c r="G508" s="3">
        <v>44465.641806851854</v>
      </c>
    </row>
    <row r="509">
      <c r="A509" s="2">
        <v>0.07</v>
      </c>
      <c r="B509" s="2">
        <v>229.7</v>
      </c>
      <c r="C509" s="2">
        <v>6.3</v>
      </c>
      <c r="D509" s="2">
        <v>6.46</v>
      </c>
      <c r="E509" s="2">
        <v>0.42</v>
      </c>
      <c r="F509" s="2">
        <v>49.9</v>
      </c>
      <c r="G509" s="3">
        <v>44465.641910509265</v>
      </c>
    </row>
    <row r="510">
      <c r="A510" s="2">
        <v>0.06</v>
      </c>
      <c r="B510" s="2">
        <v>229.6</v>
      </c>
      <c r="C510" s="2">
        <v>6.2</v>
      </c>
      <c r="D510" s="2">
        <v>6.46</v>
      </c>
      <c r="E510" s="2">
        <v>0.42</v>
      </c>
      <c r="F510" s="2">
        <v>49.9</v>
      </c>
      <c r="G510" s="3">
        <v>44465.64203636574</v>
      </c>
    </row>
    <row r="511">
      <c r="A511" s="2">
        <v>0.07</v>
      </c>
      <c r="B511" s="2">
        <v>229.8</v>
      </c>
      <c r="C511" s="2">
        <v>6.3</v>
      </c>
      <c r="D511" s="2">
        <v>6.46</v>
      </c>
      <c r="E511" s="2">
        <v>0.42</v>
      </c>
      <c r="F511" s="2">
        <v>49.9</v>
      </c>
      <c r="G511" s="3">
        <v>44465.642147060185</v>
      </c>
    </row>
    <row r="512">
      <c r="A512" s="2">
        <v>0.06</v>
      </c>
      <c r="B512" s="2">
        <v>230.0</v>
      </c>
      <c r="C512" s="2">
        <v>6.2</v>
      </c>
      <c r="D512" s="2">
        <v>6.46</v>
      </c>
      <c r="E512" s="2">
        <v>0.41</v>
      </c>
      <c r="F512" s="2">
        <v>49.9</v>
      </c>
      <c r="G512" s="3">
        <v>44465.64224971065</v>
      </c>
    </row>
    <row r="513">
      <c r="A513" s="2">
        <v>0.07</v>
      </c>
      <c r="B513" s="2">
        <v>229.7</v>
      </c>
      <c r="C513" s="2">
        <v>6.3</v>
      </c>
      <c r="D513" s="2">
        <v>6.46</v>
      </c>
      <c r="E513" s="2">
        <v>0.42</v>
      </c>
      <c r="F513" s="2">
        <v>50.0</v>
      </c>
      <c r="G513" s="3">
        <v>44465.64235547454</v>
      </c>
    </row>
    <row r="514">
      <c r="A514" s="2">
        <v>0.06</v>
      </c>
      <c r="B514" s="2">
        <v>229.8</v>
      </c>
      <c r="C514" s="2">
        <v>6.3</v>
      </c>
      <c r="D514" s="2">
        <v>6.46</v>
      </c>
      <c r="E514" s="2">
        <v>0.42</v>
      </c>
      <c r="F514" s="2">
        <v>50.0</v>
      </c>
      <c r="G514" s="3">
        <v>44465.64245903935</v>
      </c>
    </row>
    <row r="515">
      <c r="A515" s="2">
        <v>0.07</v>
      </c>
      <c r="B515" s="2">
        <v>229.9</v>
      </c>
      <c r="C515" s="2">
        <v>6.2</v>
      </c>
      <c r="D515" s="2">
        <v>6.46</v>
      </c>
      <c r="E515" s="2">
        <v>0.41</v>
      </c>
      <c r="F515" s="2">
        <v>50.0</v>
      </c>
      <c r="G515" s="3">
        <v>44465.642564884256</v>
      </c>
    </row>
    <row r="516">
      <c r="A516" s="2">
        <v>0.07</v>
      </c>
      <c r="B516" s="2">
        <v>229.9</v>
      </c>
      <c r="C516" s="2">
        <v>6.3</v>
      </c>
      <c r="D516" s="2">
        <v>6.46</v>
      </c>
      <c r="E516" s="2">
        <v>0.42</v>
      </c>
      <c r="F516" s="2">
        <v>50.0</v>
      </c>
      <c r="G516" s="3">
        <v>44465.64267133102</v>
      </c>
    </row>
    <row r="517">
      <c r="A517" s="2">
        <v>0.06</v>
      </c>
      <c r="B517" s="2">
        <v>230.1</v>
      </c>
      <c r="C517" s="2">
        <v>6.2</v>
      </c>
      <c r="D517" s="2">
        <v>6.46</v>
      </c>
      <c r="E517" s="2">
        <v>0.41</v>
      </c>
      <c r="F517" s="2">
        <v>50.0</v>
      </c>
      <c r="G517" s="3">
        <v>44465.64278214121</v>
      </c>
    </row>
    <row r="518">
      <c r="A518" s="2">
        <v>0.06</v>
      </c>
      <c r="B518" s="2">
        <v>230.2</v>
      </c>
      <c r="C518" s="2">
        <v>6.3</v>
      </c>
      <c r="D518" s="2">
        <v>6.46</v>
      </c>
      <c r="E518" s="2">
        <v>0.42</v>
      </c>
      <c r="F518" s="2">
        <v>50.0</v>
      </c>
      <c r="G518" s="3">
        <v>44465.64289239583</v>
      </c>
    </row>
    <row r="519">
      <c r="A519" s="2">
        <v>0.06</v>
      </c>
      <c r="B519" s="2">
        <v>230.5</v>
      </c>
      <c r="C519" s="2">
        <v>6.2</v>
      </c>
      <c r="D519" s="2">
        <v>6.46</v>
      </c>
      <c r="E519" s="2">
        <v>0.41</v>
      </c>
      <c r="F519" s="2">
        <v>50.0</v>
      </c>
      <c r="G519" s="3">
        <v>44465.64299721065</v>
      </c>
    </row>
    <row r="520">
      <c r="A520" s="2">
        <v>0.06</v>
      </c>
      <c r="B520" s="2">
        <v>230.4</v>
      </c>
      <c r="C520" s="2">
        <v>6.2</v>
      </c>
      <c r="D520" s="2">
        <v>6.46</v>
      </c>
      <c r="E520" s="2">
        <v>0.41</v>
      </c>
      <c r="F520" s="2">
        <v>50.0</v>
      </c>
      <c r="G520" s="3">
        <v>44465.64309931713</v>
      </c>
    </row>
    <row r="521">
      <c r="A521" s="2">
        <v>0.06</v>
      </c>
      <c r="B521" s="2">
        <v>230.4</v>
      </c>
      <c r="C521" s="2">
        <v>6.2</v>
      </c>
      <c r="D521" s="2">
        <v>6.46</v>
      </c>
      <c r="E521" s="2">
        <v>0.41</v>
      </c>
      <c r="F521" s="2">
        <v>50.0</v>
      </c>
      <c r="G521" s="3">
        <v>44465.64320407408</v>
      </c>
    </row>
    <row r="522">
      <c r="A522" s="2">
        <v>0.06</v>
      </c>
      <c r="B522" s="2">
        <v>230.4</v>
      </c>
      <c r="C522" s="2">
        <v>6.2</v>
      </c>
      <c r="D522" s="2">
        <v>6.46</v>
      </c>
      <c r="E522" s="2">
        <v>0.41</v>
      </c>
      <c r="F522" s="2">
        <v>50.0</v>
      </c>
      <c r="G522" s="3">
        <v>44465.64331475695</v>
      </c>
    </row>
    <row r="523">
      <c r="A523" s="2">
        <v>0.06</v>
      </c>
      <c r="B523" s="2">
        <v>230.3</v>
      </c>
      <c r="C523" s="2">
        <v>6.3</v>
      </c>
      <c r="D523" s="2">
        <v>6.46</v>
      </c>
      <c r="E523" s="2">
        <v>0.42</v>
      </c>
      <c r="F523" s="2">
        <v>50.0</v>
      </c>
      <c r="G523" s="3">
        <v>44465.643425092596</v>
      </c>
    </row>
    <row r="524">
      <c r="A524" s="2">
        <v>0.06</v>
      </c>
      <c r="B524" s="2">
        <v>230.4</v>
      </c>
      <c r="C524" s="2">
        <v>6.2</v>
      </c>
      <c r="D524" s="2">
        <v>6.46</v>
      </c>
      <c r="E524" s="2">
        <v>0.41</v>
      </c>
      <c r="F524" s="2">
        <v>50.0</v>
      </c>
      <c r="G524" s="3">
        <v>44465.64352834491</v>
      </c>
    </row>
    <row r="525">
      <c r="A525" s="2">
        <v>0.06</v>
      </c>
      <c r="B525" s="2">
        <v>230.3</v>
      </c>
      <c r="C525" s="2">
        <v>6.2</v>
      </c>
      <c r="D525" s="2">
        <v>6.46</v>
      </c>
      <c r="E525" s="2">
        <v>0.41</v>
      </c>
      <c r="F525" s="2">
        <v>50.0</v>
      </c>
      <c r="G525" s="3">
        <v>44465.64363158565</v>
      </c>
    </row>
    <row r="526">
      <c r="A526" s="2">
        <v>0.06</v>
      </c>
      <c r="B526" s="2">
        <v>230.5</v>
      </c>
      <c r="C526" s="2">
        <v>6.2</v>
      </c>
      <c r="D526" s="2">
        <v>6.46</v>
      </c>
      <c r="E526" s="2">
        <v>0.41</v>
      </c>
      <c r="F526" s="2">
        <v>50.0</v>
      </c>
      <c r="G526" s="3">
        <v>44465.64373761574</v>
      </c>
    </row>
    <row r="527">
      <c r="A527" s="2">
        <v>0.07</v>
      </c>
      <c r="B527" s="2">
        <v>230.4</v>
      </c>
      <c r="C527" s="2">
        <v>6.2</v>
      </c>
      <c r="D527" s="2">
        <v>6.46</v>
      </c>
      <c r="E527" s="2">
        <v>0.41</v>
      </c>
      <c r="F527" s="2">
        <v>50.0</v>
      </c>
      <c r="G527" s="3">
        <v>44465.64389689815</v>
      </c>
    </row>
    <row r="528">
      <c r="A528" s="2">
        <v>0.07</v>
      </c>
      <c r="B528" s="2">
        <v>230.4</v>
      </c>
      <c r="C528" s="2">
        <v>6.2</v>
      </c>
      <c r="D528" s="2">
        <v>6.46</v>
      </c>
      <c r="E528" s="2">
        <v>0.41</v>
      </c>
      <c r="F528" s="2">
        <v>50.0</v>
      </c>
      <c r="G528" s="3">
        <v>44465.644006296294</v>
      </c>
    </row>
    <row r="529">
      <c r="A529" s="2">
        <v>0.07</v>
      </c>
      <c r="B529" s="2">
        <v>230.5</v>
      </c>
      <c r="C529" s="2">
        <v>6.2</v>
      </c>
      <c r="D529" s="2">
        <v>6.46</v>
      </c>
      <c r="E529" s="2">
        <v>0.41</v>
      </c>
      <c r="F529" s="2">
        <v>50.0</v>
      </c>
      <c r="G529" s="3">
        <v>44465.644120682875</v>
      </c>
    </row>
    <row r="530">
      <c r="A530" s="2">
        <v>0.07</v>
      </c>
      <c r="B530" s="2">
        <v>230.4</v>
      </c>
      <c r="C530" s="2">
        <v>6.2</v>
      </c>
      <c r="D530" s="2">
        <v>6.46</v>
      </c>
      <c r="E530" s="2">
        <v>0.41</v>
      </c>
      <c r="F530" s="2">
        <v>50.0</v>
      </c>
      <c r="G530" s="3">
        <v>44465.64427431713</v>
      </c>
    </row>
    <row r="531">
      <c r="A531" s="2">
        <v>0.07</v>
      </c>
      <c r="B531" s="2">
        <v>230.4</v>
      </c>
      <c r="C531" s="2">
        <v>6.2</v>
      </c>
      <c r="D531" s="2">
        <v>6.46</v>
      </c>
      <c r="E531" s="2">
        <v>0.41</v>
      </c>
      <c r="F531" s="2">
        <v>50.0</v>
      </c>
      <c r="G531" s="3">
        <v>44465.644385023144</v>
      </c>
    </row>
    <row r="532">
      <c r="A532" s="2">
        <v>0.07</v>
      </c>
      <c r="B532" s="2">
        <v>230.2</v>
      </c>
      <c r="C532" s="2">
        <v>6.2</v>
      </c>
      <c r="D532" s="2">
        <v>6.46</v>
      </c>
      <c r="E532" s="2">
        <v>0.4</v>
      </c>
      <c r="F532" s="2">
        <v>50.0</v>
      </c>
      <c r="G532" s="3">
        <v>44465.64448809028</v>
      </c>
    </row>
    <row r="533">
      <c r="A533" s="2">
        <v>0.07</v>
      </c>
      <c r="B533" s="2">
        <v>230.3</v>
      </c>
      <c r="C533" s="2">
        <v>6.3</v>
      </c>
      <c r="D533" s="2">
        <v>6.46</v>
      </c>
      <c r="E533" s="2">
        <v>0.41</v>
      </c>
      <c r="F533" s="2">
        <v>49.9</v>
      </c>
      <c r="G533" s="3">
        <v>44465.64459188658</v>
      </c>
    </row>
    <row r="534">
      <c r="A534" s="2">
        <v>0.07</v>
      </c>
      <c r="B534" s="2">
        <v>230.1</v>
      </c>
      <c r="C534" s="2">
        <v>6.2</v>
      </c>
      <c r="D534" s="2">
        <v>6.46</v>
      </c>
      <c r="E534" s="2">
        <v>0.41</v>
      </c>
      <c r="F534" s="2">
        <v>50.0</v>
      </c>
      <c r="G534" s="3">
        <v>44465.644783587966</v>
      </c>
    </row>
    <row r="535">
      <c r="A535" s="2">
        <v>0.07</v>
      </c>
      <c r="B535" s="2">
        <v>229.9</v>
      </c>
      <c r="C535" s="2">
        <v>6.2</v>
      </c>
      <c r="D535" s="2">
        <v>6.46</v>
      </c>
      <c r="E535" s="2">
        <v>0.41</v>
      </c>
      <c r="F535" s="2">
        <v>50.0</v>
      </c>
      <c r="G535" s="3">
        <v>44465.644897453705</v>
      </c>
    </row>
    <row r="536">
      <c r="A536" s="2">
        <v>0.07</v>
      </c>
      <c r="B536" s="2">
        <v>229.8</v>
      </c>
      <c r="C536" s="2">
        <v>6.2</v>
      </c>
      <c r="D536" s="2">
        <v>6.46</v>
      </c>
      <c r="E536" s="2">
        <v>0.41</v>
      </c>
      <c r="F536" s="2">
        <v>49.9</v>
      </c>
      <c r="G536" s="3">
        <v>44465.645010636574</v>
      </c>
    </row>
    <row r="537">
      <c r="A537" s="2">
        <v>0.07</v>
      </c>
      <c r="B537" s="2">
        <v>229.6</v>
      </c>
      <c r="C537" s="2">
        <v>6.3</v>
      </c>
      <c r="D537" s="2">
        <v>6.46</v>
      </c>
      <c r="E537" s="2">
        <v>0.42</v>
      </c>
      <c r="F537" s="2">
        <v>49.9</v>
      </c>
      <c r="G537" s="3">
        <v>44465.64512756944</v>
      </c>
    </row>
    <row r="538">
      <c r="A538" s="2">
        <v>0.07</v>
      </c>
      <c r="B538" s="2">
        <v>229.5</v>
      </c>
      <c r="C538" s="2">
        <v>6.2</v>
      </c>
      <c r="D538" s="2">
        <v>6.46</v>
      </c>
      <c r="E538" s="2">
        <v>0.41</v>
      </c>
      <c r="F538" s="2">
        <v>49.9</v>
      </c>
      <c r="G538" s="3">
        <v>44465.6452388426</v>
      </c>
    </row>
    <row r="539">
      <c r="A539" s="2">
        <v>0.07</v>
      </c>
      <c r="B539" s="2">
        <v>229.5</v>
      </c>
      <c r="C539" s="2">
        <v>6.2</v>
      </c>
      <c r="D539" s="2">
        <v>6.46</v>
      </c>
      <c r="E539" s="2">
        <v>0.41</v>
      </c>
      <c r="F539" s="2">
        <v>49.9</v>
      </c>
      <c r="G539" s="3">
        <v>44465.64551688657</v>
      </c>
    </row>
    <row r="540">
      <c r="A540" s="2">
        <v>0.07</v>
      </c>
      <c r="B540" s="2">
        <v>229.8</v>
      </c>
      <c r="C540" s="2">
        <v>6.3</v>
      </c>
      <c r="D540" s="2">
        <v>6.46</v>
      </c>
      <c r="E540" s="2">
        <v>0.42</v>
      </c>
      <c r="F540" s="2">
        <v>50.0</v>
      </c>
      <c r="G540" s="3">
        <v>44465.645645358796</v>
      </c>
    </row>
    <row r="541">
      <c r="A541" s="2">
        <v>0.06</v>
      </c>
      <c r="B541" s="2">
        <v>229.8</v>
      </c>
      <c r="C541" s="2">
        <v>6.2</v>
      </c>
      <c r="D541" s="2">
        <v>6.46</v>
      </c>
      <c r="E541" s="2">
        <v>0.42</v>
      </c>
      <c r="F541" s="2">
        <v>49.9</v>
      </c>
      <c r="G541" s="3">
        <v>44465.645751296295</v>
      </c>
    </row>
    <row r="542">
      <c r="A542" s="2">
        <v>0.07</v>
      </c>
      <c r="B542" s="2">
        <v>229.9</v>
      </c>
      <c r="C542" s="2">
        <v>6.2</v>
      </c>
      <c r="D542" s="2">
        <v>6.46</v>
      </c>
      <c r="E542" s="2">
        <v>0.41</v>
      </c>
      <c r="F542" s="2">
        <v>49.9</v>
      </c>
      <c r="G542" s="3">
        <v>44465.64585465278</v>
      </c>
    </row>
    <row r="543">
      <c r="A543" s="2">
        <v>0.07</v>
      </c>
      <c r="B543" s="2">
        <v>229.7</v>
      </c>
      <c r="C543" s="2">
        <v>6.2</v>
      </c>
      <c r="D543" s="2">
        <v>6.46</v>
      </c>
      <c r="E543" s="2">
        <v>0.41</v>
      </c>
      <c r="F543" s="2">
        <v>49.9</v>
      </c>
      <c r="G543" s="3">
        <v>44465.64595869213</v>
      </c>
    </row>
    <row r="544">
      <c r="A544" s="2">
        <v>0.07</v>
      </c>
      <c r="B544" s="2">
        <v>229.7</v>
      </c>
      <c r="C544" s="2">
        <v>6.2</v>
      </c>
      <c r="D544" s="2">
        <v>6.46</v>
      </c>
      <c r="E544" s="2">
        <v>0.41</v>
      </c>
      <c r="F544" s="2">
        <v>49.9</v>
      </c>
      <c r="G544" s="3">
        <v>44465.646061817126</v>
      </c>
    </row>
    <row r="545">
      <c r="A545" s="2">
        <v>0.07</v>
      </c>
      <c r="B545" s="2">
        <v>229.6</v>
      </c>
      <c r="C545" s="2">
        <v>6.2</v>
      </c>
      <c r="D545" s="2">
        <v>6.46</v>
      </c>
      <c r="E545" s="2">
        <v>0.41</v>
      </c>
      <c r="F545" s="2">
        <v>49.9</v>
      </c>
      <c r="G545" s="3">
        <v>44465.646215127315</v>
      </c>
    </row>
    <row r="546">
      <c r="A546" s="2">
        <v>0.07</v>
      </c>
      <c r="B546" s="2">
        <v>229.5</v>
      </c>
      <c r="C546" s="2">
        <v>6.3</v>
      </c>
      <c r="D546" s="2">
        <v>6.46</v>
      </c>
      <c r="E546" s="2">
        <v>0.42</v>
      </c>
      <c r="F546" s="2">
        <v>49.9</v>
      </c>
      <c r="G546" s="3">
        <v>44465.64634748842</v>
      </c>
    </row>
    <row r="547">
      <c r="A547" s="2">
        <v>0.07</v>
      </c>
      <c r="B547" s="2">
        <v>229.4</v>
      </c>
      <c r="C547" s="2">
        <v>6.2</v>
      </c>
      <c r="D547" s="2">
        <v>6.46</v>
      </c>
      <c r="E547" s="2">
        <v>0.41</v>
      </c>
      <c r="F547" s="2">
        <v>49.9</v>
      </c>
      <c r="G547" s="3">
        <v>44465.64645439815</v>
      </c>
    </row>
    <row r="548">
      <c r="A548" s="2">
        <v>0.07</v>
      </c>
      <c r="B548" s="2">
        <v>229.3</v>
      </c>
      <c r="C548" s="2">
        <v>6.2</v>
      </c>
      <c r="D548" s="2">
        <v>6.46</v>
      </c>
      <c r="E548" s="2">
        <v>0.41</v>
      </c>
      <c r="F548" s="2">
        <v>49.9</v>
      </c>
      <c r="G548" s="3">
        <v>44465.646566365744</v>
      </c>
    </row>
    <row r="549">
      <c r="A549" s="2">
        <v>0.07</v>
      </c>
      <c r="B549" s="2">
        <v>229.6</v>
      </c>
      <c r="C549" s="2">
        <v>6.2</v>
      </c>
      <c r="D549" s="2">
        <v>6.46</v>
      </c>
      <c r="E549" s="2">
        <v>0.41</v>
      </c>
      <c r="F549" s="2">
        <v>50.0</v>
      </c>
      <c r="G549" s="3">
        <v>44465.646694537034</v>
      </c>
    </row>
    <row r="550">
      <c r="A550" s="2">
        <v>0.07</v>
      </c>
      <c r="B550" s="2">
        <v>229.7</v>
      </c>
      <c r="C550" s="2">
        <v>6.2</v>
      </c>
      <c r="D550" s="2">
        <v>6.46</v>
      </c>
      <c r="E550" s="2">
        <v>0.41</v>
      </c>
      <c r="F550" s="2">
        <v>50.0</v>
      </c>
      <c r="G550" s="3">
        <v>44465.646805462966</v>
      </c>
    </row>
    <row r="551">
      <c r="A551" s="2">
        <v>0.07</v>
      </c>
      <c r="B551" s="2">
        <v>229.8</v>
      </c>
      <c r="C551" s="2">
        <v>6.2</v>
      </c>
      <c r="D551" s="2">
        <v>6.46</v>
      </c>
      <c r="E551" s="2">
        <v>0.41</v>
      </c>
      <c r="F551" s="2">
        <v>50.0</v>
      </c>
      <c r="G551" s="3">
        <v>44465.64691221065</v>
      </c>
    </row>
    <row r="552">
      <c r="A552" s="2">
        <v>0.07</v>
      </c>
      <c r="B552" s="2">
        <v>229.9</v>
      </c>
      <c r="C552" s="2">
        <v>6.2</v>
      </c>
      <c r="D552" s="2">
        <v>6.46</v>
      </c>
      <c r="E552" s="2">
        <v>0.41</v>
      </c>
      <c r="F552" s="2">
        <v>50.0</v>
      </c>
      <c r="G552" s="3">
        <v>44465.64701916667</v>
      </c>
    </row>
    <row r="553">
      <c r="A553" s="2">
        <v>0.07</v>
      </c>
      <c r="B553" s="2">
        <v>229.9</v>
      </c>
      <c r="C553" s="2">
        <v>6.2</v>
      </c>
      <c r="D553" s="2">
        <v>6.46</v>
      </c>
      <c r="E553" s="2">
        <v>0.41</v>
      </c>
      <c r="F553" s="2">
        <v>50.0</v>
      </c>
      <c r="G553" s="3">
        <v>44465.64712684028</v>
      </c>
    </row>
    <row r="554">
      <c r="A554" s="2">
        <v>0.07</v>
      </c>
      <c r="B554" s="2">
        <v>230.0</v>
      </c>
      <c r="C554" s="2">
        <v>6.2</v>
      </c>
      <c r="D554" s="2">
        <v>6.46</v>
      </c>
      <c r="E554" s="2">
        <v>0.41</v>
      </c>
      <c r="F554" s="2">
        <v>50.0</v>
      </c>
      <c r="G554" s="3">
        <v>44465.647239328704</v>
      </c>
    </row>
    <row r="555">
      <c r="A555" s="2">
        <v>0.07</v>
      </c>
      <c r="B555" s="2">
        <v>229.9</v>
      </c>
      <c r="C555" s="2">
        <v>6.2</v>
      </c>
      <c r="D555" s="2">
        <v>6.46</v>
      </c>
      <c r="E555" s="2">
        <v>0.41</v>
      </c>
      <c r="F555" s="2">
        <v>50.0</v>
      </c>
      <c r="G555" s="3">
        <v>44465.64734844907</v>
      </c>
    </row>
    <row r="556">
      <c r="A556" s="2">
        <v>0.07</v>
      </c>
      <c r="B556" s="2">
        <v>229.7</v>
      </c>
      <c r="C556" s="2">
        <v>6.2</v>
      </c>
      <c r="D556" s="2">
        <v>6.46</v>
      </c>
      <c r="E556" s="2">
        <v>0.41</v>
      </c>
      <c r="F556" s="2">
        <v>50.0</v>
      </c>
      <c r="G556" s="3">
        <v>44465.647566377316</v>
      </c>
    </row>
    <row r="557">
      <c r="A557" s="2">
        <v>0.07</v>
      </c>
      <c r="B557" s="2">
        <v>229.7</v>
      </c>
      <c r="C557" s="2">
        <v>6.2</v>
      </c>
      <c r="D557" s="2">
        <v>6.46</v>
      </c>
      <c r="E557" s="2">
        <v>0.41</v>
      </c>
      <c r="F557" s="2">
        <v>50.0</v>
      </c>
      <c r="G557" s="3">
        <v>44465.64767900463</v>
      </c>
    </row>
    <row r="558">
      <c r="A558" s="2">
        <v>0.07</v>
      </c>
      <c r="B558" s="2">
        <v>229.7</v>
      </c>
      <c r="C558" s="2">
        <v>6.2</v>
      </c>
      <c r="D558" s="2">
        <v>6.46</v>
      </c>
      <c r="E558" s="2">
        <v>0.41</v>
      </c>
      <c r="F558" s="2">
        <v>49.9</v>
      </c>
      <c r="G558" s="3">
        <v>44465.64785787037</v>
      </c>
    </row>
    <row r="559">
      <c r="A559" s="2">
        <v>0.07</v>
      </c>
      <c r="B559" s="2">
        <v>229.7</v>
      </c>
      <c r="C559" s="2">
        <v>6.2</v>
      </c>
      <c r="D559" s="2">
        <v>6.46</v>
      </c>
      <c r="E559" s="2">
        <v>0.41</v>
      </c>
      <c r="F559" s="2">
        <v>49.9</v>
      </c>
      <c r="G559" s="3">
        <v>44465.64790225694</v>
      </c>
    </row>
    <row r="560">
      <c r="A560" s="2">
        <v>0.07</v>
      </c>
      <c r="B560" s="2">
        <v>229.7</v>
      </c>
      <c r="C560" s="2">
        <v>6.2</v>
      </c>
      <c r="D560" s="2">
        <v>6.46</v>
      </c>
      <c r="E560" s="2">
        <v>0.41</v>
      </c>
      <c r="F560" s="2">
        <v>49.9</v>
      </c>
      <c r="G560" s="3">
        <v>44465.64800556713</v>
      </c>
    </row>
    <row r="561">
      <c r="A561" s="2">
        <v>0.07</v>
      </c>
      <c r="B561" s="2">
        <v>229.7</v>
      </c>
      <c r="C561" s="2">
        <v>6.2</v>
      </c>
      <c r="D561" s="2">
        <v>6.46</v>
      </c>
      <c r="E561" s="2">
        <v>0.41</v>
      </c>
      <c r="F561" s="2">
        <v>49.9</v>
      </c>
      <c r="G561" s="3">
        <v>44465.648114791664</v>
      </c>
    </row>
    <row r="562">
      <c r="A562" s="2">
        <v>0.07</v>
      </c>
      <c r="B562" s="2">
        <v>229.8</v>
      </c>
      <c r="C562" s="2">
        <v>6.2</v>
      </c>
      <c r="D562" s="2">
        <v>6.46</v>
      </c>
      <c r="E562" s="2">
        <v>0.41</v>
      </c>
      <c r="F562" s="2">
        <v>49.9</v>
      </c>
      <c r="G562" s="3">
        <v>44465.64822037037</v>
      </c>
    </row>
    <row r="563">
      <c r="A563" s="2">
        <v>0.07</v>
      </c>
      <c r="B563" s="2">
        <v>229.5</v>
      </c>
      <c r="C563" s="2">
        <v>6.2</v>
      </c>
      <c r="D563" s="2">
        <v>6.46</v>
      </c>
      <c r="E563" s="2">
        <v>0.41</v>
      </c>
      <c r="F563" s="2">
        <v>49.9</v>
      </c>
      <c r="G563" s="3">
        <v>44465.64833023148</v>
      </c>
    </row>
    <row r="564">
      <c r="A564" s="2">
        <v>0.07</v>
      </c>
      <c r="B564" s="2">
        <v>229.6</v>
      </c>
      <c r="C564" s="2">
        <v>6.2</v>
      </c>
      <c r="D564" s="2">
        <v>6.46</v>
      </c>
      <c r="E564" s="2">
        <v>0.41</v>
      </c>
      <c r="F564" s="2">
        <v>49.9</v>
      </c>
      <c r="G564" s="3">
        <v>44465.64913637732</v>
      </c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  <row r="1001">
      <c r="G1001" s="3"/>
    </row>
    <row r="1002">
      <c r="G1002" s="3"/>
    </row>
    <row r="1003">
      <c r="G1003" s="3"/>
    </row>
    <row r="1004">
      <c r="G1004" s="3"/>
    </row>
    <row r="1005">
      <c r="G1005" s="3"/>
    </row>
    <row r="1006">
      <c r="G1006" s="3"/>
    </row>
    <row r="1007">
      <c r="G1007" s="3"/>
    </row>
    <row r="1008">
      <c r="G1008" s="3"/>
    </row>
    <row r="1009">
      <c r="G1009" s="3"/>
    </row>
    <row r="1010">
      <c r="G1010" s="3"/>
    </row>
    <row r="1011">
      <c r="G1011" s="3"/>
    </row>
    <row r="1012">
      <c r="G1012" s="3"/>
    </row>
    <row r="1013">
      <c r="G1013" s="3"/>
    </row>
    <row r="1014">
      <c r="G1014" s="3"/>
    </row>
    <row r="1015">
      <c r="G1015" s="3"/>
    </row>
    <row r="1016">
      <c r="G1016" s="3"/>
    </row>
    <row r="1017">
      <c r="G1017" s="3"/>
    </row>
    <row r="1018">
      <c r="G1018" s="3"/>
    </row>
    <row r="1019">
      <c r="G1019" s="3"/>
    </row>
    <row r="1020">
      <c r="G1020" s="3"/>
    </row>
    <row r="1021">
      <c r="G1021" s="3"/>
    </row>
    <row r="1022">
      <c r="G1022" s="3"/>
    </row>
    <row r="1023">
      <c r="G1023" s="3"/>
    </row>
    <row r="1024">
      <c r="G1024" s="3"/>
    </row>
    <row r="1025">
      <c r="G1025" s="3"/>
    </row>
    <row r="1026">
      <c r="G1026" s="3"/>
    </row>
    <row r="1027">
      <c r="G1027" s="3"/>
    </row>
    <row r="1028">
      <c r="G1028" s="3"/>
    </row>
    <row r="1029">
      <c r="G1029" s="3"/>
    </row>
    <row r="1030">
      <c r="G1030" s="3"/>
    </row>
    <row r="1031">
      <c r="G1031" s="3"/>
    </row>
    <row r="1032">
      <c r="G1032" s="3"/>
    </row>
    <row r="1033">
      <c r="G1033" s="3"/>
    </row>
    <row r="1034">
      <c r="G1034" s="3"/>
    </row>
    <row r="1035">
      <c r="G1035" s="3"/>
    </row>
    <row r="1036">
      <c r="G1036" s="3"/>
    </row>
    <row r="1037">
      <c r="G1037" s="3"/>
    </row>
    <row r="1038">
      <c r="G1038" s="3"/>
    </row>
    <row r="1039">
      <c r="G1039" s="3"/>
    </row>
    <row r="1040">
      <c r="G1040" s="3"/>
    </row>
    <row r="1041">
      <c r="G1041" s="3"/>
    </row>
    <row r="1042">
      <c r="G1042" s="3"/>
    </row>
    <row r="1043">
      <c r="G1043" s="3"/>
    </row>
    <row r="1044">
      <c r="G1044" s="3"/>
    </row>
    <row r="1045">
      <c r="G1045" s="3"/>
    </row>
    <row r="1046">
      <c r="G1046" s="3"/>
    </row>
    <row r="1047">
      <c r="G1047" s="3"/>
    </row>
    <row r="1048">
      <c r="G1048" s="3"/>
    </row>
    <row r="1049">
      <c r="G1049" s="3"/>
    </row>
    <row r="1050">
      <c r="G1050" s="3"/>
    </row>
    <row r="1051">
      <c r="G1051" s="3"/>
    </row>
    <row r="1052">
      <c r="G1052" s="3"/>
    </row>
    <row r="1053">
      <c r="G1053" s="3"/>
    </row>
    <row r="1054">
      <c r="G1054" s="3"/>
    </row>
    <row r="1055">
      <c r="G1055" s="3"/>
    </row>
    <row r="1056">
      <c r="G1056" s="3"/>
    </row>
    <row r="1057">
      <c r="G1057" s="3"/>
    </row>
    <row r="1058">
      <c r="G1058" s="3"/>
    </row>
    <row r="1059">
      <c r="G1059" s="3"/>
    </row>
    <row r="1060">
      <c r="G1060" s="3"/>
    </row>
    <row r="1061">
      <c r="G1061" s="3"/>
    </row>
    <row r="1062">
      <c r="G1062" s="3"/>
    </row>
    <row r="1063">
      <c r="G1063" s="3"/>
    </row>
    <row r="1064">
      <c r="G1064" s="3"/>
    </row>
    <row r="1065">
      <c r="G1065" s="3"/>
    </row>
    <row r="1066">
      <c r="G1066" s="3"/>
    </row>
    <row r="1067">
      <c r="G1067" s="3"/>
    </row>
    <row r="1068">
      <c r="G1068" s="3"/>
    </row>
    <row r="1069">
      <c r="G1069" s="3"/>
    </row>
    <row r="1070">
      <c r="G1070" s="3"/>
    </row>
    <row r="1071">
      <c r="G1071" s="3"/>
    </row>
    <row r="1072">
      <c r="G1072" s="3"/>
    </row>
    <row r="1073">
      <c r="G1073" s="3"/>
    </row>
    <row r="1074">
      <c r="G1074" s="3"/>
    </row>
    <row r="1075">
      <c r="G1075" s="3"/>
    </row>
    <row r="1076">
      <c r="G1076" s="3"/>
    </row>
    <row r="1077">
      <c r="G1077" s="3"/>
    </row>
    <row r="1078">
      <c r="G1078" s="3"/>
    </row>
    <row r="1079">
      <c r="G1079" s="3"/>
    </row>
    <row r="1080">
      <c r="G1080" s="3"/>
    </row>
    <row r="1081">
      <c r="G1081" s="3"/>
    </row>
    <row r="1082">
      <c r="G1082" s="3"/>
    </row>
    <row r="1083">
      <c r="G1083" s="3"/>
    </row>
    <row r="1084">
      <c r="G1084" s="3"/>
    </row>
    <row r="1085">
      <c r="G1085" s="3"/>
    </row>
    <row r="1086">
      <c r="G1086" s="3"/>
    </row>
    <row r="1087">
      <c r="G1087" s="3"/>
    </row>
    <row r="1088">
      <c r="G1088" s="3"/>
    </row>
    <row r="1089">
      <c r="G1089" s="3"/>
    </row>
    <row r="1090">
      <c r="G1090" s="3"/>
    </row>
    <row r="1091">
      <c r="G1091" s="3"/>
    </row>
    <row r="1092">
      <c r="G1092" s="3"/>
    </row>
    <row r="1093">
      <c r="G1093" s="3"/>
    </row>
    <row r="1094">
      <c r="G1094" s="3"/>
    </row>
    <row r="1095">
      <c r="G1095" s="3"/>
    </row>
    <row r="1096">
      <c r="G1096" s="3"/>
    </row>
    <row r="1097">
      <c r="G1097" s="3"/>
    </row>
    <row r="1098">
      <c r="G1098" s="3"/>
    </row>
    <row r="1099">
      <c r="G1099" s="3"/>
    </row>
    <row r="1100">
      <c r="G1100" s="3"/>
    </row>
    <row r="1101">
      <c r="G1101" s="3"/>
    </row>
    <row r="1102">
      <c r="G1102" s="3"/>
    </row>
    <row r="1103">
      <c r="G1103" s="3"/>
    </row>
    <row r="1104">
      <c r="G1104" s="3"/>
    </row>
    <row r="1105">
      <c r="G1105" s="3"/>
    </row>
    <row r="1106">
      <c r="G1106" s="3"/>
    </row>
    <row r="1107">
      <c r="G1107" s="3"/>
    </row>
    <row r="1108">
      <c r="G1108" s="3"/>
    </row>
    <row r="1109">
      <c r="G1109" s="3"/>
    </row>
    <row r="1110">
      <c r="G1110" s="3"/>
    </row>
    <row r="1111">
      <c r="G1111" s="3"/>
    </row>
    <row r="1112">
      <c r="G1112" s="3"/>
    </row>
    <row r="1113">
      <c r="G1113" s="3"/>
    </row>
    <row r="1114">
      <c r="G1114" s="3"/>
    </row>
    <row r="1115">
      <c r="G1115" s="3"/>
    </row>
    <row r="1116">
      <c r="G1116" s="3"/>
    </row>
    <row r="1117">
      <c r="G1117" s="3"/>
    </row>
    <row r="1118">
      <c r="G1118" s="3"/>
    </row>
    <row r="1119">
      <c r="G1119" s="3"/>
    </row>
    <row r="1120">
      <c r="G1120" s="3"/>
    </row>
    <row r="1121">
      <c r="G1121" s="3"/>
    </row>
    <row r="1122">
      <c r="G1122" s="3"/>
    </row>
    <row r="1123">
      <c r="G1123" s="3"/>
    </row>
    <row r="1124">
      <c r="G1124" s="3"/>
    </row>
    <row r="1125">
      <c r="G1125" s="3"/>
    </row>
    <row r="1126">
      <c r="G1126" s="3"/>
    </row>
    <row r="1127">
      <c r="G1127" s="3"/>
    </row>
    <row r="1128">
      <c r="G1128" s="3"/>
    </row>
    <row r="1129">
      <c r="G1129" s="3"/>
    </row>
    <row r="1130">
      <c r="G1130" s="3"/>
    </row>
    <row r="1131">
      <c r="G1131" s="3"/>
    </row>
    <row r="1132">
      <c r="G1132" s="3"/>
    </row>
    <row r="1133">
      <c r="G1133" s="3"/>
    </row>
    <row r="1134">
      <c r="G1134" s="3"/>
    </row>
    <row r="1135">
      <c r="G1135" s="3"/>
    </row>
    <row r="1136">
      <c r="G1136" s="3"/>
    </row>
    <row r="1137">
      <c r="G1137" s="3"/>
    </row>
    <row r="1138">
      <c r="G1138" s="3"/>
    </row>
    <row r="1139">
      <c r="G1139" s="3"/>
    </row>
    <row r="1140">
      <c r="G1140" s="3"/>
    </row>
    <row r="1141">
      <c r="G1141" s="3"/>
    </row>
    <row r="1142">
      <c r="G1142" s="3"/>
    </row>
    <row r="1143">
      <c r="G1143" s="3"/>
    </row>
    <row r="1144">
      <c r="G1144" s="3"/>
    </row>
    <row r="1145">
      <c r="G1145" s="3"/>
    </row>
    <row r="1146">
      <c r="G1146" s="3"/>
    </row>
    <row r="1147">
      <c r="G1147" s="3"/>
    </row>
    <row r="1148">
      <c r="G1148" s="3"/>
    </row>
    <row r="1149">
      <c r="G1149" s="3"/>
    </row>
    <row r="1150">
      <c r="G1150" s="3"/>
    </row>
    <row r="1151">
      <c r="G1151" s="3"/>
    </row>
    <row r="1152">
      <c r="G1152" s="3"/>
    </row>
    <row r="1153">
      <c r="G1153" s="3"/>
    </row>
    <row r="1154">
      <c r="G1154" s="3"/>
    </row>
    <row r="1155">
      <c r="G1155" s="3"/>
    </row>
    <row r="1156">
      <c r="G1156" s="3"/>
    </row>
    <row r="1157">
      <c r="G1157" s="3"/>
    </row>
    <row r="1158">
      <c r="G1158" s="3"/>
    </row>
    <row r="1159">
      <c r="G1159" s="3"/>
    </row>
    <row r="1160">
      <c r="G1160" s="3"/>
    </row>
    <row r="1161">
      <c r="G1161" s="3"/>
    </row>
    <row r="1162">
      <c r="G1162" s="3"/>
    </row>
    <row r="1163">
      <c r="G1163" s="3"/>
    </row>
    <row r="1164">
      <c r="G1164" s="3"/>
    </row>
    <row r="1165">
      <c r="G1165" s="3"/>
    </row>
    <row r="1166">
      <c r="G1166" s="3"/>
    </row>
    <row r="1167">
      <c r="G1167" s="3"/>
    </row>
    <row r="1168">
      <c r="G1168" s="3"/>
    </row>
    <row r="1169">
      <c r="G1169" s="3"/>
    </row>
    <row r="1170">
      <c r="G1170" s="3"/>
    </row>
    <row r="1171">
      <c r="G1171" s="3"/>
    </row>
    <row r="1172">
      <c r="G1172" s="3"/>
    </row>
    <row r="1173">
      <c r="G1173" s="3"/>
    </row>
    <row r="1174">
      <c r="G1174" s="3"/>
    </row>
    <row r="1175">
      <c r="G1175" s="3"/>
    </row>
    <row r="1176">
      <c r="G1176" s="3"/>
    </row>
    <row r="1177">
      <c r="G1177" s="3"/>
    </row>
    <row r="1178">
      <c r="G1178" s="3"/>
    </row>
    <row r="1179">
      <c r="G1179" s="3"/>
    </row>
    <row r="1180">
      <c r="G1180" s="3"/>
    </row>
    <row r="1181">
      <c r="G1181" s="3"/>
    </row>
    <row r="1182">
      <c r="G1182" s="3"/>
    </row>
    <row r="1183">
      <c r="G1183" s="3"/>
    </row>
    <row r="1184">
      <c r="G1184" s="3"/>
    </row>
    <row r="1185">
      <c r="G1185" s="3"/>
    </row>
    <row r="1186">
      <c r="G1186" s="3"/>
    </row>
    <row r="1187">
      <c r="G1187" s="3"/>
    </row>
    <row r="1188">
      <c r="G1188" s="3"/>
    </row>
    <row r="1189">
      <c r="G1189" s="3"/>
    </row>
    <row r="1190">
      <c r="G1190" s="3"/>
    </row>
    <row r="1191">
      <c r="G1191" s="3"/>
    </row>
    <row r="1192">
      <c r="G1192" s="3"/>
    </row>
    <row r="1193">
      <c r="G1193" s="3"/>
    </row>
    <row r="1194">
      <c r="G1194" s="3"/>
    </row>
    <row r="1195">
      <c r="G1195" s="3"/>
    </row>
    <row r="1196">
      <c r="G1196" s="3"/>
    </row>
    <row r="1197">
      <c r="G1197" s="3"/>
    </row>
    <row r="1198">
      <c r="G1198" s="3"/>
    </row>
    <row r="1199">
      <c r="G1199" s="3"/>
    </row>
    <row r="1200">
      <c r="G1200" s="3"/>
    </row>
    <row r="1201">
      <c r="G1201" s="3"/>
    </row>
    <row r="1202">
      <c r="G1202" s="3"/>
    </row>
    <row r="1203">
      <c r="G1203" s="3"/>
    </row>
    <row r="1204">
      <c r="G1204" s="3"/>
    </row>
    <row r="1205">
      <c r="G1205" s="3"/>
    </row>
    <row r="1206">
      <c r="G1206" s="3"/>
    </row>
    <row r="1207">
      <c r="G1207" s="3"/>
    </row>
    <row r="1208">
      <c r="G1208" s="3"/>
    </row>
    <row r="1209">
      <c r="G1209" s="3"/>
    </row>
    <row r="1210">
      <c r="G1210" s="3"/>
    </row>
    <row r="1211">
      <c r="G1211" s="3"/>
    </row>
    <row r="1212">
      <c r="G1212" s="3"/>
    </row>
    <row r="1213">
      <c r="G1213" s="3"/>
    </row>
    <row r="1214">
      <c r="G1214" s="3"/>
    </row>
    <row r="1215">
      <c r="G1215" s="3"/>
    </row>
    <row r="1216">
      <c r="G1216" s="3"/>
    </row>
    <row r="1217">
      <c r="G1217" s="3"/>
    </row>
    <row r="1218">
      <c r="G1218" s="3"/>
    </row>
    <row r="1219">
      <c r="G1219" s="3"/>
    </row>
    <row r="1220">
      <c r="G1220" s="3"/>
    </row>
    <row r="1221">
      <c r="G1221" s="3"/>
    </row>
    <row r="1222">
      <c r="G1222" s="3"/>
    </row>
    <row r="1223">
      <c r="G1223" s="3"/>
    </row>
    <row r="1224">
      <c r="G1224" s="3"/>
    </row>
    <row r="1225">
      <c r="G1225" s="3"/>
    </row>
    <row r="1226">
      <c r="G1226" s="3"/>
    </row>
    <row r="1227">
      <c r="G1227" s="3"/>
    </row>
    <row r="1228">
      <c r="G1228" s="3"/>
    </row>
    <row r="1229">
      <c r="G1229" s="3"/>
    </row>
    <row r="1230">
      <c r="G1230" s="3"/>
    </row>
    <row r="1231">
      <c r="G1231" s="3"/>
    </row>
    <row r="1232">
      <c r="G1232" s="3"/>
    </row>
    <row r="1233">
      <c r="G1233" s="3"/>
    </row>
    <row r="1234">
      <c r="G1234" s="3"/>
    </row>
    <row r="1235">
      <c r="G1235" s="3"/>
    </row>
    <row r="1236">
      <c r="G1236" s="3"/>
    </row>
    <row r="1237">
      <c r="G1237" s="3"/>
    </row>
    <row r="1238">
      <c r="G1238" s="3"/>
    </row>
    <row r="1239">
      <c r="G1239" s="3"/>
    </row>
    <row r="1240">
      <c r="G1240" s="3"/>
    </row>
    <row r="1241">
      <c r="G1241" s="3"/>
    </row>
    <row r="1242">
      <c r="G1242" s="3"/>
    </row>
    <row r="1243">
      <c r="G1243" s="3"/>
    </row>
    <row r="1244">
      <c r="G1244" s="3"/>
    </row>
    <row r="1245">
      <c r="G1245" s="3"/>
    </row>
    <row r="1246">
      <c r="G1246" s="3"/>
    </row>
    <row r="1247">
      <c r="G1247" s="3"/>
    </row>
    <row r="1248">
      <c r="G1248" s="3"/>
    </row>
    <row r="1249">
      <c r="G1249" s="3"/>
    </row>
    <row r="1250">
      <c r="G1250" s="3"/>
    </row>
    <row r="1251">
      <c r="G1251" s="3"/>
    </row>
    <row r="1252">
      <c r="G1252" s="3"/>
    </row>
    <row r="1253">
      <c r="G1253" s="3"/>
    </row>
    <row r="1254">
      <c r="G1254" s="3"/>
    </row>
    <row r="1255">
      <c r="G1255" s="3"/>
    </row>
    <row r="1256">
      <c r="G1256" s="3"/>
    </row>
    <row r="1257">
      <c r="G1257" s="3"/>
    </row>
    <row r="1258">
      <c r="G1258" s="3"/>
    </row>
    <row r="1259">
      <c r="G1259" s="3"/>
    </row>
    <row r="1260">
      <c r="G1260" s="3"/>
    </row>
    <row r="1261">
      <c r="G1261" s="3"/>
    </row>
    <row r="1262">
      <c r="G1262" s="3"/>
    </row>
    <row r="1263">
      <c r="G1263" s="3"/>
    </row>
    <row r="1264">
      <c r="G1264" s="3"/>
    </row>
    <row r="1265">
      <c r="G1265" s="3"/>
    </row>
    <row r="1266">
      <c r="G1266" s="3"/>
    </row>
    <row r="1267">
      <c r="G1267" s="3"/>
    </row>
    <row r="1268">
      <c r="G1268" s="3"/>
    </row>
    <row r="1269">
      <c r="G1269" s="3"/>
    </row>
    <row r="1270">
      <c r="G1270" s="3"/>
    </row>
    <row r="1271">
      <c r="G1271" s="3"/>
    </row>
    <row r="1272">
      <c r="G1272" s="3"/>
    </row>
    <row r="1273">
      <c r="G1273" s="3"/>
    </row>
    <row r="1274">
      <c r="G1274" s="3"/>
    </row>
    <row r="1275">
      <c r="G1275" s="3"/>
    </row>
    <row r="1276">
      <c r="G1276" s="3"/>
    </row>
    <row r="1277">
      <c r="G1277" s="3"/>
    </row>
    <row r="1278">
      <c r="G1278" s="3"/>
    </row>
    <row r="1279">
      <c r="G1279" s="3"/>
    </row>
    <row r="1280">
      <c r="G1280" s="3"/>
    </row>
    <row r="1281">
      <c r="G1281" s="3"/>
    </row>
    <row r="1282">
      <c r="G1282" s="3"/>
    </row>
    <row r="1283">
      <c r="G1283" s="3"/>
    </row>
    <row r="1284">
      <c r="G1284" s="3"/>
    </row>
    <row r="1285">
      <c r="G1285" s="3"/>
    </row>
    <row r="1286">
      <c r="G1286" s="3"/>
    </row>
    <row r="1287">
      <c r="G1287" s="3"/>
    </row>
    <row r="1288">
      <c r="G1288" s="3"/>
    </row>
    <row r="1289">
      <c r="G1289" s="3"/>
    </row>
    <row r="1290">
      <c r="G1290" s="3"/>
    </row>
    <row r="1291">
      <c r="G1291" s="3"/>
    </row>
    <row r="1292">
      <c r="G1292" s="3"/>
    </row>
    <row r="1293">
      <c r="G1293" s="3"/>
    </row>
    <row r="1294">
      <c r="G1294" s="3"/>
    </row>
    <row r="1295">
      <c r="G1295" s="3"/>
    </row>
    <row r="1296">
      <c r="G1296" s="3"/>
    </row>
    <row r="1297">
      <c r="G1297" s="3"/>
    </row>
    <row r="1298">
      <c r="G1298" s="3"/>
    </row>
    <row r="1299">
      <c r="G1299" s="3"/>
    </row>
    <row r="1300">
      <c r="G1300" s="3"/>
    </row>
    <row r="1301">
      <c r="G1301" s="3"/>
    </row>
    <row r="1302">
      <c r="G1302" s="3"/>
    </row>
    <row r="1303">
      <c r="G1303" s="3"/>
    </row>
    <row r="1304">
      <c r="G1304" s="3"/>
    </row>
    <row r="1305">
      <c r="G1305" s="3"/>
    </row>
    <row r="1306">
      <c r="G1306" s="3"/>
    </row>
    <row r="1307">
      <c r="G1307" s="3"/>
    </row>
    <row r="1308">
      <c r="G1308" s="3"/>
    </row>
    <row r="1309">
      <c r="G1309" s="3"/>
    </row>
    <row r="1310">
      <c r="G1310" s="3"/>
    </row>
    <row r="1311">
      <c r="G1311" s="3"/>
    </row>
    <row r="1312">
      <c r="G1312" s="3"/>
    </row>
    <row r="1313">
      <c r="G1313" s="3"/>
    </row>
    <row r="1314">
      <c r="G1314" s="3"/>
    </row>
    <row r="1315">
      <c r="G1315" s="3"/>
    </row>
    <row r="1316">
      <c r="G1316" s="3"/>
    </row>
    <row r="1317">
      <c r="G1317" s="3"/>
    </row>
    <row r="1318">
      <c r="G1318" s="3"/>
    </row>
    <row r="1319">
      <c r="G1319" s="3"/>
    </row>
    <row r="1320">
      <c r="G1320" s="3"/>
    </row>
    <row r="1321">
      <c r="G1321" s="3"/>
    </row>
    <row r="1322">
      <c r="G1322" s="3"/>
    </row>
    <row r="1323">
      <c r="G1323" s="3"/>
    </row>
    <row r="1324">
      <c r="G1324" s="3"/>
    </row>
    <row r="1325">
      <c r="G1325" s="3"/>
    </row>
    <row r="1326">
      <c r="G1326" s="3"/>
    </row>
    <row r="1327">
      <c r="G1327" s="3"/>
    </row>
    <row r="1328">
      <c r="G1328" s="3"/>
    </row>
    <row r="1329">
      <c r="G1329" s="3"/>
    </row>
    <row r="1330">
      <c r="G1330" s="3"/>
    </row>
    <row r="1331">
      <c r="G1331" s="3"/>
    </row>
    <row r="1332">
      <c r="G1332" s="3"/>
    </row>
    <row r="1333">
      <c r="G1333" s="3"/>
    </row>
    <row r="1334">
      <c r="G1334" s="3"/>
    </row>
    <row r="1335">
      <c r="G1335" s="3"/>
    </row>
    <row r="1336">
      <c r="G1336" s="3"/>
    </row>
    <row r="1337">
      <c r="G1337" s="3"/>
    </row>
    <row r="1338">
      <c r="G1338" s="3"/>
    </row>
    <row r="1339">
      <c r="G1339" s="3"/>
    </row>
    <row r="1340">
      <c r="G1340" s="3"/>
    </row>
    <row r="1341">
      <c r="G1341" s="3"/>
    </row>
    <row r="1342">
      <c r="G1342" s="3"/>
    </row>
    <row r="1343">
      <c r="G1343" s="3"/>
    </row>
    <row r="1344">
      <c r="G1344" s="3"/>
    </row>
    <row r="1345">
      <c r="G1345" s="3"/>
    </row>
    <row r="1346">
      <c r="G1346" s="3"/>
    </row>
    <row r="1347">
      <c r="G1347" s="3"/>
    </row>
    <row r="1348">
      <c r="G1348" s="3"/>
    </row>
    <row r="1349">
      <c r="G1349" s="3"/>
    </row>
    <row r="1350">
      <c r="G1350" s="3"/>
    </row>
    <row r="1351">
      <c r="G1351" s="3"/>
    </row>
    <row r="1352">
      <c r="G1352" s="3"/>
    </row>
    <row r="1353">
      <c r="G1353" s="3"/>
    </row>
    <row r="1354">
      <c r="G1354" s="3"/>
    </row>
    <row r="1355">
      <c r="G1355" s="3"/>
    </row>
    <row r="1356">
      <c r="G1356" s="3"/>
    </row>
    <row r="1357">
      <c r="G1357" s="3"/>
    </row>
    <row r="1358">
      <c r="G1358" s="3"/>
    </row>
    <row r="1359">
      <c r="G1359" s="3"/>
    </row>
    <row r="1360">
      <c r="G1360" s="3"/>
    </row>
    <row r="1361">
      <c r="G1361" s="3"/>
    </row>
    <row r="1362">
      <c r="G1362" s="3"/>
    </row>
    <row r="1363">
      <c r="G1363" s="3"/>
    </row>
    <row r="1364">
      <c r="G1364" s="3"/>
    </row>
    <row r="1365">
      <c r="G1365" s="3"/>
    </row>
    <row r="1366">
      <c r="G1366" s="3"/>
    </row>
    <row r="1367">
      <c r="G1367" s="3"/>
    </row>
    <row r="1368">
      <c r="G1368" s="3"/>
    </row>
    <row r="1369">
      <c r="G1369" s="3"/>
    </row>
    <row r="1370">
      <c r="G1370" s="3"/>
    </row>
    <row r="1371">
      <c r="G1371" s="3"/>
    </row>
    <row r="1372">
      <c r="G1372" s="3"/>
    </row>
    <row r="1373">
      <c r="G1373" s="3"/>
    </row>
    <row r="1374">
      <c r="G1374" s="3"/>
    </row>
    <row r="1375">
      <c r="G1375" s="3"/>
    </row>
    <row r="1376">
      <c r="G1376" s="3"/>
    </row>
    <row r="1377">
      <c r="G1377" s="3"/>
    </row>
    <row r="1378">
      <c r="G1378" s="3"/>
    </row>
    <row r="1379">
      <c r="G1379" s="3"/>
    </row>
    <row r="1380">
      <c r="G1380" s="3"/>
    </row>
    <row r="1381">
      <c r="G1381" s="3"/>
    </row>
    <row r="1382">
      <c r="G1382" s="3"/>
    </row>
    <row r="1383">
      <c r="G1383" s="3"/>
    </row>
    <row r="1384">
      <c r="G1384" s="3"/>
    </row>
    <row r="1385">
      <c r="G1385" s="3"/>
    </row>
    <row r="1386">
      <c r="G1386" s="3"/>
    </row>
    <row r="1387">
      <c r="G1387" s="3"/>
    </row>
    <row r="1388">
      <c r="G1388" s="3"/>
    </row>
    <row r="1389">
      <c r="G1389" s="3"/>
    </row>
    <row r="1390">
      <c r="G1390" s="3"/>
    </row>
    <row r="1391">
      <c r="G1391" s="3"/>
    </row>
    <row r="1392">
      <c r="G1392" s="3"/>
    </row>
    <row r="1393">
      <c r="G1393" s="3"/>
    </row>
    <row r="1394">
      <c r="G1394" s="3"/>
    </row>
    <row r="1395">
      <c r="G1395" s="3"/>
    </row>
    <row r="1396">
      <c r="G1396" s="3"/>
    </row>
    <row r="1397">
      <c r="G1397" s="3"/>
    </row>
    <row r="1398">
      <c r="G1398" s="3"/>
    </row>
    <row r="1399">
      <c r="G1399" s="3"/>
    </row>
    <row r="1400">
      <c r="G1400" s="3"/>
    </row>
    <row r="1401">
      <c r="G1401" s="3"/>
    </row>
    <row r="1402">
      <c r="G1402" s="3"/>
    </row>
    <row r="1403">
      <c r="G1403" s="3"/>
    </row>
    <row r="1404">
      <c r="G1404" s="3"/>
    </row>
    <row r="1405">
      <c r="G1405" s="3"/>
    </row>
    <row r="1406">
      <c r="G1406" s="3"/>
    </row>
    <row r="1407">
      <c r="G1407" s="3"/>
    </row>
    <row r="1408">
      <c r="G1408" s="3"/>
    </row>
    <row r="1409">
      <c r="G1409" s="3"/>
    </row>
    <row r="1410">
      <c r="G1410" s="3"/>
    </row>
    <row r="1411">
      <c r="G1411" s="3"/>
    </row>
    <row r="1412">
      <c r="G1412" s="3"/>
    </row>
    <row r="1413">
      <c r="G1413" s="3"/>
    </row>
    <row r="1414">
      <c r="G1414" s="3"/>
    </row>
    <row r="1415">
      <c r="G1415" s="3"/>
    </row>
    <row r="1416">
      <c r="G1416" s="3"/>
    </row>
    <row r="1417">
      <c r="G1417" s="3"/>
    </row>
    <row r="1418">
      <c r="G1418" s="3"/>
    </row>
    <row r="1419">
      <c r="G1419" s="3"/>
    </row>
    <row r="1420">
      <c r="G1420" s="3"/>
    </row>
    <row r="1421">
      <c r="G1421" s="3"/>
    </row>
    <row r="1422">
      <c r="G1422" s="3"/>
    </row>
    <row r="1423">
      <c r="G1423" s="3"/>
    </row>
    <row r="1424">
      <c r="G1424" s="3"/>
    </row>
    <row r="1425">
      <c r="G1425" s="3"/>
    </row>
    <row r="1426">
      <c r="G1426" s="3"/>
    </row>
    <row r="1427">
      <c r="G1427" s="3"/>
    </row>
    <row r="1428">
      <c r="G1428" s="3"/>
    </row>
    <row r="1429">
      <c r="G1429" s="3"/>
    </row>
    <row r="1430">
      <c r="G1430" s="3"/>
    </row>
    <row r="1431">
      <c r="G1431" s="3"/>
    </row>
    <row r="1432">
      <c r="G1432" s="3"/>
    </row>
    <row r="1433">
      <c r="G1433" s="3"/>
    </row>
    <row r="1434">
      <c r="G1434" s="3"/>
    </row>
    <row r="1435">
      <c r="G1435" s="3"/>
    </row>
    <row r="1436">
      <c r="G1436" s="3"/>
    </row>
    <row r="1437">
      <c r="G1437" s="3"/>
    </row>
    <row r="1438">
      <c r="G1438" s="3"/>
    </row>
    <row r="1439">
      <c r="G1439" s="3"/>
    </row>
    <row r="1440">
      <c r="G1440" s="3"/>
    </row>
    <row r="1441">
      <c r="G1441" s="3"/>
    </row>
    <row r="1442">
      <c r="G1442" s="3"/>
    </row>
    <row r="1443">
      <c r="G1443" s="3"/>
    </row>
    <row r="1444">
      <c r="G1444" s="3"/>
    </row>
    <row r="1445">
      <c r="G1445" s="3"/>
    </row>
    <row r="1446">
      <c r="G1446" s="3"/>
    </row>
    <row r="1447">
      <c r="G1447" s="3"/>
    </row>
    <row r="1448">
      <c r="G1448" s="3"/>
    </row>
    <row r="1449">
      <c r="G1449" s="3"/>
    </row>
    <row r="1450">
      <c r="G1450" s="3"/>
    </row>
    <row r="1451">
      <c r="G1451" s="3"/>
    </row>
    <row r="1452">
      <c r="G1452" s="3"/>
    </row>
    <row r="1453">
      <c r="G1453" s="3"/>
    </row>
    <row r="1454">
      <c r="G1454" s="3"/>
    </row>
    <row r="1455">
      <c r="G1455" s="3"/>
    </row>
    <row r="1456">
      <c r="G1456" s="3"/>
    </row>
    <row r="1457">
      <c r="G1457" s="3"/>
    </row>
    <row r="1458">
      <c r="G1458" s="3"/>
    </row>
    <row r="1459">
      <c r="G1459" s="3"/>
    </row>
    <row r="1460">
      <c r="G1460" s="3"/>
    </row>
    <row r="1461">
      <c r="G1461" s="3"/>
    </row>
    <row r="1462">
      <c r="G1462" s="3"/>
    </row>
    <row r="1463">
      <c r="G1463" s="3"/>
    </row>
    <row r="1464">
      <c r="G1464" s="3"/>
    </row>
    <row r="1465">
      <c r="G1465" s="3"/>
    </row>
    <row r="1466">
      <c r="G1466" s="3"/>
    </row>
    <row r="1467">
      <c r="G1467" s="3"/>
    </row>
    <row r="1468">
      <c r="G1468" s="3"/>
    </row>
    <row r="1469">
      <c r="G1469" s="3"/>
    </row>
    <row r="1470">
      <c r="G1470" s="3"/>
    </row>
    <row r="1471">
      <c r="G1471" s="3"/>
    </row>
    <row r="1472">
      <c r="G1472" s="3"/>
    </row>
    <row r="1473">
      <c r="G1473" s="3"/>
    </row>
    <row r="1474">
      <c r="G1474" s="3"/>
    </row>
    <row r="1475">
      <c r="G1475" s="3"/>
    </row>
    <row r="1476">
      <c r="G1476" s="3"/>
    </row>
    <row r="1477">
      <c r="G1477" s="3"/>
    </row>
    <row r="1478">
      <c r="G1478" s="3"/>
    </row>
    <row r="1479">
      <c r="G1479" s="3"/>
    </row>
    <row r="1480">
      <c r="G1480" s="3"/>
    </row>
    <row r="1481">
      <c r="G1481" s="3"/>
    </row>
    <row r="1482">
      <c r="G1482" s="3"/>
    </row>
    <row r="1483">
      <c r="G1483" s="3"/>
    </row>
    <row r="1484">
      <c r="G1484" s="3"/>
    </row>
    <row r="1485">
      <c r="G1485" s="3"/>
    </row>
    <row r="1486">
      <c r="G1486" s="3"/>
    </row>
    <row r="1487">
      <c r="G1487" s="3"/>
    </row>
    <row r="1488">
      <c r="G1488" s="3"/>
    </row>
    <row r="1489">
      <c r="G1489" s="3"/>
    </row>
    <row r="1490">
      <c r="G1490" s="3"/>
    </row>
    <row r="1491">
      <c r="G1491" s="3"/>
    </row>
    <row r="1492">
      <c r="G1492" s="3"/>
    </row>
    <row r="1493">
      <c r="G1493" s="3"/>
    </row>
    <row r="1494">
      <c r="G1494" s="3"/>
    </row>
    <row r="1495">
      <c r="G1495" s="3"/>
    </row>
    <row r="1496">
      <c r="G1496" s="3"/>
    </row>
    <row r="1497">
      <c r="G1497" s="3"/>
    </row>
    <row r="1498">
      <c r="G1498" s="3"/>
    </row>
    <row r="1499">
      <c r="G1499" s="3"/>
    </row>
    <row r="1500">
      <c r="G1500" s="3"/>
    </row>
    <row r="1501">
      <c r="G1501" s="3"/>
    </row>
    <row r="1502">
      <c r="G1502" s="3"/>
    </row>
    <row r="1503">
      <c r="G1503" s="3"/>
    </row>
    <row r="1504">
      <c r="G1504" s="3"/>
    </row>
    <row r="1505">
      <c r="G1505" s="3"/>
    </row>
    <row r="1506">
      <c r="G1506" s="3"/>
    </row>
    <row r="1507">
      <c r="G1507" s="3"/>
    </row>
    <row r="1508">
      <c r="G1508" s="3"/>
    </row>
    <row r="1509">
      <c r="G1509" s="3"/>
    </row>
    <row r="1510">
      <c r="G1510" s="3"/>
    </row>
    <row r="1511">
      <c r="G1511" s="3"/>
    </row>
    <row r="1512">
      <c r="G1512" s="3"/>
    </row>
    <row r="1513">
      <c r="G1513" s="3"/>
    </row>
    <row r="1514">
      <c r="G1514" s="3"/>
    </row>
    <row r="1515">
      <c r="G1515" s="3"/>
    </row>
    <row r="1516">
      <c r="G1516" s="3"/>
    </row>
    <row r="1517">
      <c r="G1517" s="3"/>
    </row>
    <row r="1518">
      <c r="G1518" s="3"/>
    </row>
    <row r="1519">
      <c r="G1519" s="3"/>
    </row>
    <row r="1520">
      <c r="G1520" s="3"/>
    </row>
    <row r="1521">
      <c r="G1521" s="3"/>
    </row>
    <row r="1522">
      <c r="G1522" s="3"/>
    </row>
    <row r="1523">
      <c r="G1523" s="3"/>
    </row>
    <row r="1524">
      <c r="G1524" s="3"/>
    </row>
    <row r="1525">
      <c r="G1525" s="3"/>
    </row>
    <row r="1526">
      <c r="G1526" s="3"/>
    </row>
    <row r="1527">
      <c r="G1527" s="3"/>
    </row>
    <row r="1528">
      <c r="G1528" s="3"/>
    </row>
    <row r="1529">
      <c r="G1529" s="3"/>
    </row>
    <row r="1530">
      <c r="G1530" s="3"/>
    </row>
    <row r="1531">
      <c r="G1531" s="3"/>
    </row>
    <row r="1532">
      <c r="G1532" s="3"/>
    </row>
    <row r="1533">
      <c r="G1533" s="3"/>
    </row>
    <row r="1534">
      <c r="G1534" s="3"/>
    </row>
    <row r="1535">
      <c r="G1535" s="3"/>
    </row>
    <row r="1536">
      <c r="G1536" s="3"/>
    </row>
    <row r="1537">
      <c r="G1537" s="3"/>
    </row>
    <row r="1538">
      <c r="G1538" s="3"/>
    </row>
    <row r="1539">
      <c r="G1539" s="3"/>
    </row>
    <row r="1540">
      <c r="G1540" s="3"/>
    </row>
    <row r="1541">
      <c r="G1541" s="3"/>
    </row>
    <row r="1542">
      <c r="G1542" s="3"/>
    </row>
    <row r="1543">
      <c r="G1543" s="3"/>
    </row>
    <row r="1544">
      <c r="G1544" s="3"/>
    </row>
    <row r="1545">
      <c r="G1545" s="3"/>
    </row>
    <row r="1546">
      <c r="G1546" s="3"/>
    </row>
    <row r="1547">
      <c r="G1547" s="3"/>
    </row>
    <row r="1548">
      <c r="G1548" s="3"/>
    </row>
    <row r="1549">
      <c r="G1549" s="3"/>
    </row>
    <row r="1550">
      <c r="G1550" s="3"/>
    </row>
    <row r="1551">
      <c r="G1551" s="3"/>
    </row>
    <row r="1552">
      <c r="G1552" s="3"/>
    </row>
    <row r="1553">
      <c r="G1553" s="3"/>
    </row>
    <row r="1554">
      <c r="G1554" s="3"/>
    </row>
    <row r="1555">
      <c r="G1555" s="3"/>
    </row>
    <row r="1556">
      <c r="G1556" s="3"/>
    </row>
    <row r="1557">
      <c r="G1557" s="3"/>
    </row>
    <row r="1558">
      <c r="G1558" s="3"/>
    </row>
    <row r="1559">
      <c r="G1559" s="3"/>
    </row>
    <row r="1560">
      <c r="G1560" s="3"/>
    </row>
    <row r="1561">
      <c r="G1561" s="3"/>
    </row>
    <row r="1562">
      <c r="G1562" s="3"/>
    </row>
    <row r="1563">
      <c r="G1563" s="3"/>
    </row>
    <row r="1564">
      <c r="G1564" s="3"/>
    </row>
    <row r="1565">
      <c r="G1565" s="3"/>
    </row>
    <row r="1566">
      <c r="G1566" s="3"/>
    </row>
    <row r="1567">
      <c r="G1567" s="3"/>
    </row>
    <row r="1568">
      <c r="G1568" s="3"/>
    </row>
    <row r="1569">
      <c r="G1569" s="3"/>
    </row>
    <row r="1570">
      <c r="G1570" s="3"/>
    </row>
    <row r="1571">
      <c r="G1571" s="3"/>
    </row>
    <row r="1572">
      <c r="G1572" s="3"/>
    </row>
    <row r="1573">
      <c r="G1573" s="3"/>
    </row>
    <row r="1574">
      <c r="G1574" s="3"/>
    </row>
    <row r="1575">
      <c r="G1575" s="3"/>
    </row>
    <row r="1576">
      <c r="G1576" s="3"/>
    </row>
    <row r="1577">
      <c r="G1577" s="3"/>
    </row>
    <row r="1578">
      <c r="G1578" s="3"/>
    </row>
    <row r="1579">
      <c r="G1579" s="3"/>
    </row>
    <row r="1580">
      <c r="G1580" s="3"/>
    </row>
    <row r="1581">
      <c r="G1581" s="3"/>
    </row>
    <row r="1582">
      <c r="G1582" s="3"/>
    </row>
    <row r="1583">
      <c r="G1583" s="3"/>
    </row>
    <row r="1584">
      <c r="G1584" s="3"/>
    </row>
    <row r="1585">
      <c r="G1585" s="3"/>
    </row>
    <row r="1586">
      <c r="G1586" s="3"/>
    </row>
    <row r="1587">
      <c r="G1587" s="3"/>
    </row>
    <row r="1588">
      <c r="G1588" s="3"/>
    </row>
    <row r="1589">
      <c r="G1589" s="3"/>
    </row>
    <row r="1590">
      <c r="G1590" s="3"/>
    </row>
    <row r="1591">
      <c r="G1591" s="3"/>
    </row>
    <row r="1592">
      <c r="G1592" s="3"/>
    </row>
    <row r="1593">
      <c r="G1593" s="3"/>
    </row>
    <row r="1594">
      <c r="G1594" s="3"/>
    </row>
    <row r="1595">
      <c r="G1595" s="3"/>
    </row>
    <row r="1596">
      <c r="G1596" s="3"/>
    </row>
    <row r="1597">
      <c r="G1597" s="3"/>
    </row>
    <row r="1598">
      <c r="G1598" s="3"/>
    </row>
    <row r="1599">
      <c r="G1599" s="3"/>
    </row>
    <row r="1600">
      <c r="G1600" s="3"/>
    </row>
    <row r="1601">
      <c r="G1601" s="3"/>
    </row>
    <row r="1602">
      <c r="G1602" s="3"/>
    </row>
    <row r="1603">
      <c r="G1603" s="3"/>
    </row>
    <row r="1604">
      <c r="G1604" s="3"/>
    </row>
    <row r="1605">
      <c r="G1605" s="3"/>
    </row>
    <row r="1606">
      <c r="G1606" s="3"/>
    </row>
    <row r="1607">
      <c r="G1607" s="3"/>
    </row>
    <row r="1608">
      <c r="G1608" s="3"/>
    </row>
    <row r="1609">
      <c r="G1609" s="3"/>
    </row>
    <row r="1610">
      <c r="G1610" s="3"/>
    </row>
    <row r="1611">
      <c r="G1611" s="3"/>
    </row>
    <row r="1612">
      <c r="G1612" s="3"/>
    </row>
    <row r="1613">
      <c r="G1613" s="3"/>
    </row>
    <row r="1614">
      <c r="G1614" s="3"/>
    </row>
    <row r="1615">
      <c r="G1615" s="3"/>
    </row>
    <row r="1616">
      <c r="G1616" s="3"/>
    </row>
    <row r="1617">
      <c r="G1617" s="3"/>
    </row>
    <row r="1618">
      <c r="G1618" s="3"/>
    </row>
    <row r="1619">
      <c r="G1619" s="3"/>
    </row>
    <row r="1620">
      <c r="G1620" s="3"/>
    </row>
    <row r="1621">
      <c r="G1621" s="3"/>
    </row>
    <row r="1622">
      <c r="G1622" s="3"/>
    </row>
    <row r="1623">
      <c r="G1623" s="3"/>
    </row>
    <row r="1624">
      <c r="G1624" s="3"/>
    </row>
    <row r="1625">
      <c r="G1625" s="3"/>
    </row>
    <row r="1626">
      <c r="G1626" s="3"/>
    </row>
    <row r="1627">
      <c r="G1627" s="3"/>
    </row>
    <row r="1628">
      <c r="G1628" s="3"/>
    </row>
    <row r="1629">
      <c r="G1629" s="3"/>
    </row>
    <row r="1630">
      <c r="G1630" s="3"/>
    </row>
    <row r="1631">
      <c r="G1631" s="3"/>
    </row>
    <row r="1632">
      <c r="G1632" s="3"/>
    </row>
    <row r="1633">
      <c r="G1633" s="3"/>
    </row>
    <row r="1634">
      <c r="G1634" s="3"/>
    </row>
    <row r="1635">
      <c r="G1635" s="3"/>
    </row>
    <row r="1636">
      <c r="G1636" s="3"/>
    </row>
    <row r="1637">
      <c r="G1637" s="3"/>
    </row>
    <row r="1638">
      <c r="G1638" s="3"/>
    </row>
    <row r="1639">
      <c r="G1639" s="3"/>
    </row>
    <row r="1640">
      <c r="G1640" s="3"/>
    </row>
    <row r="1641">
      <c r="G1641" s="3"/>
    </row>
    <row r="1642">
      <c r="G1642" s="3"/>
    </row>
    <row r="1643">
      <c r="G1643" s="3"/>
    </row>
    <row r="1644">
      <c r="G1644" s="3"/>
    </row>
    <row r="1645">
      <c r="G1645" s="3"/>
    </row>
    <row r="1646">
      <c r="G1646" s="3"/>
    </row>
    <row r="1647">
      <c r="G1647" s="3"/>
    </row>
    <row r="1648">
      <c r="G1648" s="3"/>
    </row>
    <row r="1649">
      <c r="G1649" s="3"/>
    </row>
    <row r="1650">
      <c r="G1650" s="3"/>
    </row>
    <row r="1651">
      <c r="G1651" s="3"/>
    </row>
    <row r="1652">
      <c r="G1652" s="3"/>
    </row>
    <row r="1653">
      <c r="G1653" s="3"/>
    </row>
    <row r="1654">
      <c r="G1654" s="3"/>
    </row>
    <row r="1655">
      <c r="G1655" s="3"/>
    </row>
    <row r="1656">
      <c r="G1656" s="3"/>
    </row>
    <row r="1657">
      <c r="G1657" s="3"/>
    </row>
    <row r="1658">
      <c r="G1658" s="3"/>
    </row>
    <row r="1659">
      <c r="G1659" s="3"/>
    </row>
    <row r="1660">
      <c r="G1660" s="3"/>
    </row>
    <row r="1661">
      <c r="G1661" s="3"/>
    </row>
    <row r="1662">
      <c r="G1662" s="3"/>
    </row>
    <row r="1663">
      <c r="G1663" s="3"/>
    </row>
    <row r="1664">
      <c r="G1664" s="3"/>
    </row>
    <row r="1665">
      <c r="G1665" s="3"/>
    </row>
    <row r="1666">
      <c r="G1666" s="3"/>
    </row>
    <row r="1667">
      <c r="G1667" s="3"/>
    </row>
    <row r="1668">
      <c r="G1668" s="3"/>
    </row>
    <row r="1669">
      <c r="G1669" s="3"/>
    </row>
    <row r="1670">
      <c r="G1670" s="3"/>
    </row>
    <row r="1671">
      <c r="G1671" s="3"/>
    </row>
    <row r="1672">
      <c r="G1672" s="3"/>
    </row>
    <row r="1673">
      <c r="G1673" s="3"/>
    </row>
    <row r="1674">
      <c r="G1674" s="3"/>
    </row>
    <row r="1675">
      <c r="G1675" s="3"/>
    </row>
    <row r="1676">
      <c r="G1676" s="3"/>
    </row>
    <row r="1677">
      <c r="G1677" s="3"/>
    </row>
    <row r="1678">
      <c r="G1678" s="3"/>
    </row>
    <row r="1679">
      <c r="G1679" s="3"/>
    </row>
    <row r="1680">
      <c r="G1680" s="3"/>
    </row>
    <row r="1681">
      <c r="G1681" s="3"/>
    </row>
    <row r="1682">
      <c r="G1682" s="3"/>
    </row>
    <row r="1683">
      <c r="G1683" s="3"/>
    </row>
    <row r="1684">
      <c r="G1684" s="3"/>
    </row>
    <row r="1685">
      <c r="G1685" s="3"/>
    </row>
    <row r="1686">
      <c r="G1686" s="3"/>
    </row>
    <row r="1687">
      <c r="G1687" s="3"/>
    </row>
    <row r="1688">
      <c r="G1688" s="3"/>
    </row>
    <row r="1689">
      <c r="G1689" s="3"/>
    </row>
    <row r="1690">
      <c r="G1690" s="3"/>
    </row>
    <row r="1691">
      <c r="G1691" s="3"/>
    </row>
    <row r="1692">
      <c r="G1692" s="3"/>
    </row>
    <row r="1693">
      <c r="G1693" s="3"/>
    </row>
    <row r="1694">
      <c r="G1694" s="3"/>
    </row>
    <row r="1695">
      <c r="G1695" s="3"/>
    </row>
    <row r="1696">
      <c r="G1696" s="3"/>
    </row>
    <row r="1697">
      <c r="G1697" s="3"/>
    </row>
    <row r="1698">
      <c r="G1698" s="3"/>
    </row>
    <row r="1699">
      <c r="G1699" s="3"/>
    </row>
    <row r="1700">
      <c r="G1700" s="3"/>
    </row>
    <row r="1701">
      <c r="G1701" s="3"/>
    </row>
    <row r="1702">
      <c r="G1702" s="3"/>
    </row>
    <row r="1703">
      <c r="G1703" s="3"/>
    </row>
    <row r="1704">
      <c r="G1704" s="3"/>
    </row>
    <row r="1705">
      <c r="G1705" s="3"/>
    </row>
    <row r="1706">
      <c r="G1706" s="3"/>
    </row>
    <row r="1707">
      <c r="G1707" s="3"/>
    </row>
    <row r="1708">
      <c r="G1708" s="3"/>
    </row>
    <row r="1709">
      <c r="G1709" s="3"/>
    </row>
    <row r="1710">
      <c r="G1710" s="3"/>
    </row>
    <row r="1711">
      <c r="G1711" s="3"/>
    </row>
    <row r="1712">
      <c r="G1712" s="3"/>
    </row>
    <row r="1713">
      <c r="G1713" s="3"/>
    </row>
    <row r="1714">
      <c r="G1714" s="3"/>
    </row>
    <row r="1715">
      <c r="G1715" s="3"/>
    </row>
    <row r="1716">
      <c r="G1716" s="3"/>
    </row>
    <row r="1717">
      <c r="G1717" s="3"/>
    </row>
    <row r="1718">
      <c r="G1718" s="3"/>
    </row>
    <row r="1719">
      <c r="G1719" s="3"/>
    </row>
    <row r="1720">
      <c r="G1720" s="3"/>
    </row>
    <row r="1721">
      <c r="G1721" s="3"/>
    </row>
    <row r="1722">
      <c r="G1722" s="3"/>
    </row>
    <row r="1723">
      <c r="G1723" s="3"/>
    </row>
    <row r="1724">
      <c r="G1724" s="3"/>
    </row>
    <row r="1725">
      <c r="G1725" s="3"/>
    </row>
    <row r="1726">
      <c r="G1726" s="3"/>
    </row>
    <row r="1727">
      <c r="G1727" s="3"/>
    </row>
    <row r="1728">
      <c r="G1728" s="3"/>
    </row>
    <row r="1729">
      <c r="G1729" s="3"/>
    </row>
    <row r="1730">
      <c r="G1730" s="3"/>
    </row>
    <row r="1731">
      <c r="G1731" s="3"/>
    </row>
    <row r="1732">
      <c r="G1732" s="3"/>
    </row>
    <row r="1733">
      <c r="G1733" s="3"/>
    </row>
    <row r="1734">
      <c r="G1734" s="3"/>
    </row>
    <row r="1735">
      <c r="G1735" s="3"/>
    </row>
    <row r="1736">
      <c r="G1736" s="3"/>
    </row>
    <row r="1737">
      <c r="G1737" s="3"/>
    </row>
    <row r="1738">
      <c r="G1738" s="3"/>
    </row>
    <row r="1739">
      <c r="G1739" s="3"/>
    </row>
    <row r="1740">
      <c r="G1740" s="3"/>
    </row>
    <row r="1741">
      <c r="G1741" s="3"/>
    </row>
    <row r="1742">
      <c r="G1742" s="3"/>
    </row>
    <row r="1743">
      <c r="G1743" s="3"/>
    </row>
    <row r="1744">
      <c r="G1744" s="3"/>
    </row>
    <row r="1745">
      <c r="G1745" s="3"/>
    </row>
    <row r="1746">
      <c r="G1746" s="3"/>
    </row>
    <row r="1747">
      <c r="G1747" s="3"/>
    </row>
    <row r="1748">
      <c r="G1748" s="3"/>
    </row>
    <row r="1749">
      <c r="G1749" s="3"/>
    </row>
    <row r="1750">
      <c r="G1750" s="3"/>
    </row>
    <row r="1751">
      <c r="G1751" s="3"/>
    </row>
    <row r="1752">
      <c r="G1752" s="3"/>
    </row>
    <row r="1753">
      <c r="G1753" s="3"/>
    </row>
    <row r="1754">
      <c r="G1754" s="3"/>
    </row>
    <row r="1755">
      <c r="G1755" s="3"/>
    </row>
    <row r="1756">
      <c r="G1756" s="3"/>
    </row>
    <row r="1757">
      <c r="G1757" s="3"/>
    </row>
    <row r="1758">
      <c r="G1758" s="3"/>
    </row>
    <row r="1759">
      <c r="G1759" s="3"/>
    </row>
    <row r="1760">
      <c r="G1760" s="3"/>
    </row>
    <row r="1761">
      <c r="G1761" s="3"/>
    </row>
    <row r="1762">
      <c r="G1762" s="3"/>
    </row>
    <row r="1763">
      <c r="G1763" s="3"/>
    </row>
    <row r="1764">
      <c r="G1764" s="3"/>
    </row>
    <row r="1765">
      <c r="G1765" s="3"/>
    </row>
    <row r="1766">
      <c r="G1766" s="3"/>
    </row>
    <row r="1767">
      <c r="G1767" s="3"/>
    </row>
    <row r="1768">
      <c r="G1768" s="3"/>
    </row>
    <row r="1769">
      <c r="G1769" s="3"/>
    </row>
    <row r="1770">
      <c r="G1770" s="3"/>
    </row>
    <row r="1771">
      <c r="G1771" s="3"/>
    </row>
    <row r="1772">
      <c r="G1772" s="3"/>
    </row>
    <row r="1773">
      <c r="G1773" s="3"/>
    </row>
    <row r="1774">
      <c r="G1774" s="3"/>
    </row>
    <row r="1775">
      <c r="G1775" s="3"/>
    </row>
    <row r="1776">
      <c r="G1776" s="3"/>
    </row>
    <row r="1777">
      <c r="G1777" s="3"/>
    </row>
    <row r="1778">
      <c r="G1778" s="3"/>
    </row>
    <row r="1779">
      <c r="G1779" s="3"/>
    </row>
    <row r="1780">
      <c r="G1780" s="3"/>
    </row>
    <row r="1781">
      <c r="G1781" s="3"/>
    </row>
    <row r="1782">
      <c r="G1782" s="3"/>
    </row>
    <row r="1783">
      <c r="G1783" s="3"/>
    </row>
    <row r="1784">
      <c r="G1784" s="3"/>
    </row>
    <row r="1785">
      <c r="G1785" s="3"/>
    </row>
    <row r="1786">
      <c r="G1786" s="3"/>
    </row>
    <row r="1787">
      <c r="G1787" s="3"/>
    </row>
    <row r="1788">
      <c r="G1788" s="3"/>
    </row>
    <row r="1789">
      <c r="G1789" s="3"/>
    </row>
    <row r="1790">
      <c r="G1790" s="3"/>
    </row>
    <row r="1791">
      <c r="G1791" s="3"/>
    </row>
    <row r="1792">
      <c r="G1792" s="3"/>
    </row>
    <row r="1793">
      <c r="G1793" s="3"/>
    </row>
    <row r="1794">
      <c r="G1794" s="3"/>
    </row>
    <row r="1795">
      <c r="G1795" s="3"/>
    </row>
    <row r="1796">
      <c r="G1796" s="3"/>
    </row>
    <row r="1797">
      <c r="G1797" s="3"/>
    </row>
    <row r="1798">
      <c r="G1798" s="3"/>
    </row>
    <row r="1799">
      <c r="G1799" s="3"/>
    </row>
    <row r="1800">
      <c r="G1800" s="3"/>
    </row>
    <row r="1801">
      <c r="G1801" s="3"/>
    </row>
    <row r="1802">
      <c r="G1802" s="3"/>
    </row>
    <row r="1803">
      <c r="G1803" s="3"/>
    </row>
    <row r="1804">
      <c r="G1804" s="3"/>
    </row>
    <row r="1805">
      <c r="G1805" s="3"/>
    </row>
    <row r="1806">
      <c r="G1806" s="3"/>
    </row>
    <row r="1807">
      <c r="G1807" s="3"/>
    </row>
    <row r="1808">
      <c r="G1808" s="3"/>
    </row>
    <row r="1809">
      <c r="G1809" s="3"/>
    </row>
    <row r="1810">
      <c r="G1810" s="3"/>
    </row>
    <row r="1811">
      <c r="G1811" s="3"/>
    </row>
    <row r="1812">
      <c r="G1812" s="3"/>
    </row>
    <row r="1813">
      <c r="G1813" s="3"/>
    </row>
    <row r="1814">
      <c r="G1814" s="3"/>
    </row>
    <row r="1815">
      <c r="G1815" s="3"/>
    </row>
    <row r="1816">
      <c r="G1816" s="3"/>
    </row>
    <row r="1817">
      <c r="G1817" s="3"/>
    </row>
    <row r="1818">
      <c r="G1818" s="3"/>
    </row>
    <row r="1819">
      <c r="G1819" s="3"/>
    </row>
    <row r="1820">
      <c r="G1820" s="3"/>
    </row>
    <row r="1821">
      <c r="G1821" s="3"/>
    </row>
    <row r="1822">
      <c r="G1822" s="3"/>
    </row>
    <row r="1823">
      <c r="G1823" s="3"/>
    </row>
    <row r="1824">
      <c r="G1824" s="3"/>
    </row>
    <row r="1825">
      <c r="G1825" s="3"/>
    </row>
    <row r="1826">
      <c r="G1826" s="3"/>
    </row>
    <row r="1827">
      <c r="G1827" s="3"/>
    </row>
    <row r="1828">
      <c r="G1828" s="3"/>
    </row>
    <row r="1829">
      <c r="G1829" s="3"/>
    </row>
    <row r="1830">
      <c r="G1830" s="3"/>
    </row>
    <row r="1831">
      <c r="G1831" s="3"/>
    </row>
    <row r="1832">
      <c r="G1832" s="3"/>
    </row>
    <row r="1833">
      <c r="G1833" s="3"/>
    </row>
    <row r="1834">
      <c r="G1834" s="3"/>
    </row>
    <row r="1835">
      <c r="G1835" s="3"/>
    </row>
    <row r="1836">
      <c r="G1836" s="3"/>
    </row>
    <row r="1837">
      <c r="G1837" s="3"/>
    </row>
    <row r="1838">
      <c r="G1838" s="3"/>
    </row>
    <row r="1839">
      <c r="G1839" s="3"/>
    </row>
    <row r="1840">
      <c r="G1840" s="3"/>
    </row>
    <row r="1841">
      <c r="G1841" s="3"/>
    </row>
    <row r="1842">
      <c r="G1842" s="3"/>
    </row>
    <row r="1843">
      <c r="G1843" s="3"/>
    </row>
    <row r="1844">
      <c r="G1844" s="3"/>
    </row>
    <row r="1845">
      <c r="G1845" s="3"/>
    </row>
    <row r="1846">
      <c r="G1846" s="3"/>
    </row>
    <row r="1847">
      <c r="G1847" s="3"/>
    </row>
    <row r="1848">
      <c r="G1848" s="3"/>
    </row>
    <row r="1849">
      <c r="G1849" s="3"/>
    </row>
    <row r="1850">
      <c r="G1850" s="3"/>
    </row>
    <row r="1851">
      <c r="G1851" s="3"/>
    </row>
    <row r="1852">
      <c r="G1852" s="3"/>
    </row>
    <row r="1853">
      <c r="G1853" s="3"/>
    </row>
    <row r="1854">
      <c r="G1854" s="3"/>
    </row>
    <row r="1855">
      <c r="G1855" s="3"/>
    </row>
    <row r="1856">
      <c r="G1856" s="3"/>
    </row>
    <row r="1857">
      <c r="G1857" s="3"/>
    </row>
    <row r="1858">
      <c r="G1858" s="3"/>
    </row>
    <row r="1859">
      <c r="G1859" s="3"/>
    </row>
    <row r="1860">
      <c r="G1860" s="3"/>
    </row>
    <row r="1861">
      <c r="G1861" s="3"/>
    </row>
    <row r="1862">
      <c r="G1862" s="3"/>
    </row>
    <row r="1863">
      <c r="G1863" s="3"/>
    </row>
    <row r="1864">
      <c r="G1864" s="3"/>
    </row>
    <row r="1865">
      <c r="G1865" s="3"/>
    </row>
    <row r="1866">
      <c r="G1866" s="3"/>
    </row>
    <row r="1867">
      <c r="G1867" s="3"/>
    </row>
    <row r="1868">
      <c r="G1868" s="3"/>
    </row>
    <row r="1869">
      <c r="G1869" s="3"/>
    </row>
    <row r="1870">
      <c r="G1870" s="3"/>
    </row>
    <row r="1871">
      <c r="G1871" s="3"/>
    </row>
    <row r="1872">
      <c r="G1872" s="3"/>
    </row>
    <row r="1873">
      <c r="G1873" s="3"/>
    </row>
    <row r="1874">
      <c r="G1874" s="3"/>
    </row>
    <row r="1875">
      <c r="G1875" s="3"/>
    </row>
    <row r="1876">
      <c r="G1876" s="3"/>
    </row>
    <row r="1877">
      <c r="G1877" s="3"/>
    </row>
    <row r="1878">
      <c r="G1878" s="3"/>
    </row>
    <row r="1879">
      <c r="G1879" s="3"/>
    </row>
    <row r="1880">
      <c r="G1880" s="3"/>
    </row>
    <row r="1881">
      <c r="G1881" s="3"/>
    </row>
    <row r="1882">
      <c r="G1882" s="3"/>
    </row>
    <row r="1883">
      <c r="G1883" s="3"/>
    </row>
    <row r="1884">
      <c r="G1884" s="3"/>
    </row>
    <row r="1885">
      <c r="G1885" s="3"/>
    </row>
    <row r="1886">
      <c r="G1886" s="3"/>
    </row>
    <row r="1887">
      <c r="G1887" s="3"/>
    </row>
    <row r="1888">
      <c r="G1888" s="3"/>
    </row>
    <row r="1889">
      <c r="G1889" s="3"/>
    </row>
    <row r="1890">
      <c r="G1890" s="3"/>
    </row>
    <row r="1891">
      <c r="G1891" s="3"/>
    </row>
    <row r="1892">
      <c r="G1892" s="3"/>
    </row>
    <row r="1893">
      <c r="G1893" s="3"/>
    </row>
    <row r="1894">
      <c r="G1894" s="3"/>
    </row>
    <row r="1895">
      <c r="G1895" s="3"/>
    </row>
    <row r="1896">
      <c r="G1896" s="3"/>
    </row>
    <row r="1897">
      <c r="G1897" s="3"/>
    </row>
    <row r="1898">
      <c r="G1898" s="3"/>
    </row>
    <row r="1899">
      <c r="G1899" s="3"/>
    </row>
    <row r="1900">
      <c r="G1900" s="3"/>
    </row>
    <row r="1901">
      <c r="G1901" s="3"/>
    </row>
    <row r="1902">
      <c r="G1902" s="3"/>
    </row>
    <row r="1903">
      <c r="G1903" s="3"/>
    </row>
    <row r="1904">
      <c r="G1904" s="3"/>
    </row>
    <row r="1905">
      <c r="G1905" s="3"/>
    </row>
    <row r="1906">
      <c r="G1906" s="3"/>
    </row>
    <row r="1907">
      <c r="G1907" s="3"/>
    </row>
    <row r="1908">
      <c r="G1908" s="3"/>
    </row>
    <row r="1909">
      <c r="G1909" s="3"/>
    </row>
    <row r="1910">
      <c r="G1910" s="3"/>
    </row>
    <row r="1911">
      <c r="G1911" s="3"/>
    </row>
    <row r="1912">
      <c r="G1912" s="3"/>
    </row>
    <row r="1913">
      <c r="G1913" s="3"/>
    </row>
    <row r="1914">
      <c r="G1914" s="3"/>
    </row>
    <row r="1915">
      <c r="G1915" s="3"/>
    </row>
    <row r="1916">
      <c r="G1916" s="3"/>
    </row>
    <row r="1917">
      <c r="G1917" s="3"/>
    </row>
    <row r="1918">
      <c r="G1918" s="3"/>
    </row>
    <row r="1919">
      <c r="G1919" s="3"/>
    </row>
    <row r="1920">
      <c r="G1920" s="3"/>
    </row>
    <row r="1921">
      <c r="G1921" s="3"/>
    </row>
    <row r="1922">
      <c r="G1922" s="3"/>
    </row>
    <row r="1923">
      <c r="G1923" s="3"/>
    </row>
    <row r="1924">
      <c r="G1924" s="3"/>
    </row>
    <row r="1925">
      <c r="G1925" s="3"/>
    </row>
    <row r="1926">
      <c r="G1926" s="3"/>
    </row>
    <row r="1927">
      <c r="G1927" s="3"/>
    </row>
    <row r="1928">
      <c r="G1928" s="3"/>
    </row>
    <row r="1929">
      <c r="G1929" s="3"/>
    </row>
    <row r="1930">
      <c r="G1930" s="3"/>
    </row>
    <row r="1931">
      <c r="G1931" s="3"/>
    </row>
    <row r="1932">
      <c r="G1932" s="3"/>
    </row>
    <row r="1933">
      <c r="G1933" s="3"/>
    </row>
    <row r="1934">
      <c r="G1934" s="3"/>
    </row>
    <row r="1935">
      <c r="G1935" s="3"/>
    </row>
    <row r="1936">
      <c r="G1936" s="3"/>
    </row>
    <row r="1937">
      <c r="G1937" s="3"/>
    </row>
    <row r="1938">
      <c r="G1938" s="3"/>
    </row>
    <row r="1939">
      <c r="G1939" s="3"/>
    </row>
    <row r="1940">
      <c r="G1940" s="3"/>
    </row>
    <row r="1941">
      <c r="G1941" s="3"/>
    </row>
    <row r="1942">
      <c r="G1942" s="3"/>
    </row>
    <row r="1943">
      <c r="G1943" s="3"/>
    </row>
    <row r="1944">
      <c r="G1944" s="3"/>
    </row>
    <row r="1945">
      <c r="G1945" s="3"/>
    </row>
    <row r="1946">
      <c r="G1946" s="3"/>
    </row>
    <row r="1947">
      <c r="G1947" s="3"/>
    </row>
    <row r="1948">
      <c r="G1948" s="3"/>
    </row>
    <row r="1949">
      <c r="G1949" s="3"/>
    </row>
    <row r="1950">
      <c r="G1950" s="3"/>
    </row>
    <row r="1951">
      <c r="G1951" s="3"/>
    </row>
    <row r="1952">
      <c r="G1952" s="3"/>
    </row>
    <row r="1953">
      <c r="G1953" s="3"/>
    </row>
    <row r="1954">
      <c r="G1954" s="3"/>
    </row>
    <row r="1955">
      <c r="G1955" s="3"/>
    </row>
    <row r="1956">
      <c r="G1956" s="3"/>
    </row>
    <row r="1957">
      <c r="G1957" s="3"/>
    </row>
    <row r="1958">
      <c r="G1958" s="3"/>
    </row>
    <row r="1959">
      <c r="G1959" s="3"/>
    </row>
    <row r="1960">
      <c r="G1960" s="3"/>
    </row>
    <row r="1961">
      <c r="G1961" s="3"/>
    </row>
    <row r="1962">
      <c r="G1962" s="3"/>
    </row>
    <row r="1963">
      <c r="G1963" s="3"/>
    </row>
    <row r="1964">
      <c r="G1964" s="3"/>
    </row>
    <row r="1965">
      <c r="G1965" s="3"/>
    </row>
    <row r="1966">
      <c r="G1966" s="3"/>
    </row>
    <row r="1967">
      <c r="G1967" s="3"/>
    </row>
    <row r="1968">
      <c r="G1968" s="3"/>
    </row>
    <row r="1969">
      <c r="G1969" s="3"/>
    </row>
    <row r="1970">
      <c r="G1970" s="3"/>
    </row>
    <row r="1971">
      <c r="G1971" s="3"/>
    </row>
    <row r="1972">
      <c r="G1972" s="3"/>
    </row>
    <row r="1973">
      <c r="G1973" s="3"/>
    </row>
    <row r="1974">
      <c r="G1974" s="3"/>
    </row>
    <row r="1975">
      <c r="G1975" s="3"/>
    </row>
    <row r="1976">
      <c r="G1976" s="3"/>
    </row>
    <row r="1977">
      <c r="G1977" s="3"/>
    </row>
    <row r="1978">
      <c r="G1978" s="3"/>
    </row>
    <row r="1979">
      <c r="G1979" s="3"/>
    </row>
    <row r="1980">
      <c r="G1980" s="3"/>
    </row>
    <row r="1981">
      <c r="G1981" s="3"/>
    </row>
    <row r="1982">
      <c r="G1982" s="3"/>
    </row>
    <row r="1983">
      <c r="G1983" s="3"/>
    </row>
    <row r="1984">
      <c r="G1984" s="3"/>
    </row>
    <row r="1985">
      <c r="G1985" s="3"/>
    </row>
    <row r="1986">
      <c r="G1986" s="3"/>
    </row>
    <row r="1987">
      <c r="G1987" s="3"/>
    </row>
    <row r="1988">
      <c r="G1988" s="3"/>
    </row>
    <row r="1989">
      <c r="G1989" s="3"/>
    </row>
    <row r="1990">
      <c r="G1990" s="3"/>
    </row>
    <row r="1991">
      <c r="G1991" s="3"/>
    </row>
    <row r="1992">
      <c r="G1992" s="3"/>
    </row>
    <row r="1993">
      <c r="G1993" s="3"/>
    </row>
    <row r="1994">
      <c r="G1994" s="3"/>
    </row>
    <row r="1995">
      <c r="G1995" s="3"/>
    </row>
    <row r="1996">
      <c r="G1996" s="3"/>
    </row>
    <row r="1997">
      <c r="G1997" s="3"/>
    </row>
    <row r="1998">
      <c r="G1998" s="3"/>
    </row>
    <row r="1999">
      <c r="G1999" s="3"/>
    </row>
    <row r="2000">
      <c r="G2000" s="3"/>
    </row>
    <row r="2001">
      <c r="G2001" s="3"/>
    </row>
    <row r="2002">
      <c r="G2002" s="3"/>
    </row>
    <row r="2003">
      <c r="G2003" s="3"/>
    </row>
    <row r="2004">
      <c r="G2004" s="3"/>
    </row>
    <row r="2005">
      <c r="G2005" s="3"/>
    </row>
    <row r="2006">
      <c r="G2006" s="3"/>
    </row>
    <row r="2007">
      <c r="G2007" s="3"/>
    </row>
    <row r="2008">
      <c r="G2008" s="3"/>
    </row>
    <row r="2009">
      <c r="G2009" s="3"/>
    </row>
    <row r="2010">
      <c r="G2010" s="3"/>
    </row>
    <row r="2011">
      <c r="G2011" s="3"/>
    </row>
    <row r="2012">
      <c r="G2012" s="3"/>
    </row>
    <row r="2013">
      <c r="G2013" s="3"/>
    </row>
    <row r="2014">
      <c r="G2014" s="3"/>
    </row>
    <row r="2015">
      <c r="G2015" s="3"/>
    </row>
    <row r="2016">
      <c r="G2016" s="3"/>
    </row>
    <row r="2017">
      <c r="G2017" s="3"/>
    </row>
    <row r="2018">
      <c r="G2018" s="3"/>
    </row>
    <row r="2019">
      <c r="G2019" s="3"/>
    </row>
    <row r="2020">
      <c r="G2020" s="3"/>
    </row>
    <row r="2021">
      <c r="G2021" s="3"/>
    </row>
    <row r="2022">
      <c r="G2022" s="3"/>
    </row>
    <row r="2023">
      <c r="G2023" s="3"/>
    </row>
    <row r="2024">
      <c r="G2024" s="3"/>
    </row>
    <row r="2025">
      <c r="G2025" s="3"/>
    </row>
    <row r="2026">
      <c r="G2026" s="3"/>
    </row>
    <row r="2027">
      <c r="G2027" s="3"/>
    </row>
    <row r="2028">
      <c r="G2028" s="3"/>
    </row>
    <row r="2029">
      <c r="G2029" s="3"/>
    </row>
    <row r="2030">
      <c r="G2030" s="3"/>
    </row>
    <row r="2031">
      <c r="G2031" s="3"/>
    </row>
    <row r="2032">
      <c r="G2032" s="3"/>
    </row>
    <row r="2033">
      <c r="G2033" s="3"/>
    </row>
    <row r="2034">
      <c r="G2034" s="3"/>
    </row>
    <row r="2035">
      <c r="G2035" s="3"/>
    </row>
    <row r="2036">
      <c r="G2036" s="3"/>
    </row>
    <row r="2037">
      <c r="G2037" s="3"/>
    </row>
    <row r="2038">
      <c r="G2038" s="3"/>
    </row>
    <row r="2039">
      <c r="G2039" s="3"/>
    </row>
    <row r="2040">
      <c r="G2040" s="3"/>
    </row>
    <row r="2041">
      <c r="G2041" s="3"/>
    </row>
    <row r="2042">
      <c r="G2042" s="3"/>
    </row>
    <row r="2043">
      <c r="G2043" s="3"/>
    </row>
    <row r="2044">
      <c r="G2044" s="3"/>
    </row>
    <row r="2045">
      <c r="G2045" s="3"/>
    </row>
    <row r="2046">
      <c r="G2046" s="3"/>
    </row>
    <row r="2047">
      <c r="G2047" s="3"/>
    </row>
    <row r="2048">
      <c r="G2048" s="3"/>
    </row>
    <row r="2049">
      <c r="G2049" s="3"/>
    </row>
    <row r="2050">
      <c r="G2050" s="3"/>
    </row>
    <row r="2051">
      <c r="G2051" s="3"/>
    </row>
    <row r="2052">
      <c r="G2052" s="3"/>
    </row>
    <row r="2053">
      <c r="G2053" s="3"/>
    </row>
    <row r="2054">
      <c r="G2054" s="3"/>
    </row>
    <row r="2055">
      <c r="G2055" s="3"/>
    </row>
    <row r="2056">
      <c r="G2056" s="3"/>
    </row>
    <row r="2057">
      <c r="G2057" s="3"/>
    </row>
    <row r="2058">
      <c r="G2058" s="3"/>
    </row>
    <row r="2059">
      <c r="G2059" s="3"/>
    </row>
    <row r="2060">
      <c r="G2060" s="3"/>
    </row>
    <row r="2061">
      <c r="G2061" s="3"/>
    </row>
    <row r="2062">
      <c r="G2062" s="3"/>
    </row>
    <row r="2063">
      <c r="G2063" s="3"/>
    </row>
    <row r="2064">
      <c r="G2064" s="3"/>
    </row>
    <row r="2065">
      <c r="G2065" s="3"/>
    </row>
    <row r="2066">
      <c r="G2066" s="3"/>
    </row>
    <row r="2067">
      <c r="G2067" s="3"/>
    </row>
    <row r="2068">
      <c r="G2068" s="3"/>
    </row>
    <row r="2069">
      <c r="G2069" s="3"/>
    </row>
    <row r="2070">
      <c r="G2070" s="3"/>
    </row>
    <row r="2071">
      <c r="G2071" s="3"/>
    </row>
    <row r="2072">
      <c r="G2072" s="3"/>
    </row>
    <row r="2073">
      <c r="G2073" s="3"/>
    </row>
    <row r="2074">
      <c r="G2074" s="3"/>
    </row>
    <row r="2075">
      <c r="G2075" s="3"/>
    </row>
    <row r="2076">
      <c r="G2076" s="3"/>
    </row>
    <row r="2077">
      <c r="G2077" s="3"/>
    </row>
    <row r="2078">
      <c r="G2078" s="3"/>
    </row>
    <row r="2079">
      <c r="G2079" s="3"/>
    </row>
    <row r="2080">
      <c r="G2080" s="3"/>
    </row>
    <row r="2081">
      <c r="G2081" s="3"/>
    </row>
    <row r="2082">
      <c r="G2082" s="3"/>
    </row>
    <row r="2083">
      <c r="G2083" s="3"/>
    </row>
    <row r="2084">
      <c r="G2084" s="3"/>
    </row>
    <row r="2085">
      <c r="G2085" s="3"/>
    </row>
    <row r="2086">
      <c r="G2086" s="3"/>
    </row>
    <row r="2087">
      <c r="G2087" s="3"/>
    </row>
    <row r="2088">
      <c r="G2088" s="3"/>
    </row>
    <row r="2089">
      <c r="G2089" s="3"/>
    </row>
    <row r="2090">
      <c r="G2090" s="3"/>
    </row>
    <row r="2091">
      <c r="G2091" s="3"/>
    </row>
    <row r="2092">
      <c r="G2092" s="3"/>
    </row>
    <row r="2093">
      <c r="G2093" s="3"/>
    </row>
    <row r="2094">
      <c r="G2094" s="3"/>
    </row>
    <row r="2095">
      <c r="G2095" s="3"/>
    </row>
    <row r="2096">
      <c r="G2096" s="3"/>
    </row>
    <row r="2097">
      <c r="G2097" s="3"/>
    </row>
    <row r="2098">
      <c r="G2098" s="3"/>
    </row>
    <row r="2099">
      <c r="G2099" s="3"/>
    </row>
    <row r="2100">
      <c r="G2100" s="3"/>
    </row>
    <row r="2101">
      <c r="G2101" s="3"/>
    </row>
    <row r="2102">
      <c r="G2102" s="3"/>
    </row>
    <row r="2103">
      <c r="G2103" s="3"/>
    </row>
    <row r="2104">
      <c r="G2104" s="3"/>
    </row>
    <row r="2105">
      <c r="G2105" s="3"/>
    </row>
    <row r="2106">
      <c r="G2106" s="3"/>
    </row>
    <row r="2107">
      <c r="G2107" s="3"/>
    </row>
    <row r="2108">
      <c r="G2108" s="3"/>
    </row>
    <row r="2109">
      <c r="G2109" s="3"/>
    </row>
    <row r="2110">
      <c r="G2110" s="3"/>
    </row>
    <row r="2111">
      <c r="G2111" s="3"/>
    </row>
    <row r="2112">
      <c r="G2112" s="3"/>
    </row>
    <row r="2113">
      <c r="G2113" s="3"/>
    </row>
    <row r="2114">
      <c r="G2114" s="3"/>
    </row>
    <row r="2115">
      <c r="G2115" s="3"/>
    </row>
    <row r="2116">
      <c r="G2116" s="3"/>
    </row>
    <row r="2117">
      <c r="G2117" s="3"/>
    </row>
    <row r="2118">
      <c r="G2118" s="3"/>
    </row>
    <row r="2119">
      <c r="G2119" s="3"/>
    </row>
    <row r="2120">
      <c r="G2120" s="3"/>
    </row>
    <row r="2121">
      <c r="G2121" s="3"/>
    </row>
    <row r="2122">
      <c r="G2122" s="3"/>
    </row>
    <row r="2123">
      <c r="G2123" s="3"/>
    </row>
    <row r="2124">
      <c r="G2124" s="3"/>
    </row>
    <row r="2125">
      <c r="G2125" s="3"/>
    </row>
    <row r="2126">
      <c r="G2126" s="3"/>
    </row>
    <row r="2127">
      <c r="G2127" s="3"/>
    </row>
    <row r="2128">
      <c r="G2128" s="3"/>
    </row>
    <row r="2129">
      <c r="G2129" s="3"/>
    </row>
    <row r="2130">
      <c r="G2130" s="3"/>
    </row>
    <row r="2131">
      <c r="G2131" s="3"/>
    </row>
    <row r="2132">
      <c r="G2132" s="3"/>
    </row>
    <row r="2133">
      <c r="G2133" s="3"/>
    </row>
    <row r="2134">
      <c r="G2134" s="3"/>
    </row>
    <row r="2135">
      <c r="G2135" s="3"/>
    </row>
    <row r="2136">
      <c r="G2136" s="3"/>
    </row>
    <row r="2137">
      <c r="G2137" s="3"/>
    </row>
    <row r="2138">
      <c r="G2138" s="3"/>
    </row>
    <row r="2139">
      <c r="G2139" s="3"/>
    </row>
    <row r="2140">
      <c r="G2140" s="3"/>
    </row>
    <row r="2141">
      <c r="G2141" s="3"/>
    </row>
    <row r="2142">
      <c r="G2142" s="3"/>
    </row>
    <row r="2143">
      <c r="G2143" s="3"/>
    </row>
    <row r="2144">
      <c r="G2144" s="3"/>
    </row>
    <row r="2145">
      <c r="G2145" s="3"/>
    </row>
    <row r="2146">
      <c r="G2146" s="3"/>
    </row>
    <row r="2147">
      <c r="G2147" s="3"/>
    </row>
    <row r="2148">
      <c r="G2148" s="3"/>
    </row>
    <row r="2149">
      <c r="G2149" s="3"/>
    </row>
    <row r="2150">
      <c r="G2150" s="3"/>
    </row>
    <row r="2151">
      <c r="G2151" s="3"/>
    </row>
    <row r="2152">
      <c r="G2152" s="3"/>
    </row>
    <row r="2153">
      <c r="G2153" s="3"/>
    </row>
    <row r="2154">
      <c r="G2154" s="3"/>
    </row>
    <row r="2155">
      <c r="G2155" s="3"/>
    </row>
    <row r="2156">
      <c r="G2156" s="3"/>
    </row>
    <row r="2157">
      <c r="G2157" s="3"/>
    </row>
    <row r="2158">
      <c r="G2158" s="3"/>
    </row>
    <row r="2159">
      <c r="G2159" s="3"/>
    </row>
    <row r="2160">
      <c r="G2160" s="3"/>
    </row>
    <row r="2161">
      <c r="G2161" s="3"/>
    </row>
    <row r="2162">
      <c r="G2162" s="3"/>
    </row>
    <row r="2163">
      <c r="G2163" s="3"/>
    </row>
    <row r="2164">
      <c r="G2164" s="3"/>
    </row>
    <row r="2165">
      <c r="G2165" s="3"/>
    </row>
    <row r="2166">
      <c r="G2166" s="3"/>
    </row>
    <row r="2167">
      <c r="G2167" s="3"/>
    </row>
    <row r="2168">
      <c r="G2168" s="3"/>
    </row>
    <row r="2169">
      <c r="G2169" s="3"/>
    </row>
    <row r="2170">
      <c r="G2170" s="3"/>
    </row>
    <row r="2171">
      <c r="G2171" s="3"/>
    </row>
    <row r="2172">
      <c r="G2172" s="3"/>
    </row>
    <row r="2173">
      <c r="G2173" s="3"/>
    </row>
    <row r="2174">
      <c r="G2174" s="3"/>
    </row>
    <row r="2175">
      <c r="G2175" s="3"/>
    </row>
    <row r="2176">
      <c r="G2176" s="3"/>
    </row>
    <row r="2177">
      <c r="G2177" s="3"/>
    </row>
    <row r="2178">
      <c r="G2178" s="3"/>
    </row>
    <row r="2179">
      <c r="G2179" s="3"/>
    </row>
    <row r="2180">
      <c r="G2180" s="3"/>
    </row>
    <row r="2181">
      <c r="G2181" s="3"/>
    </row>
    <row r="2182">
      <c r="G2182" s="3"/>
    </row>
    <row r="2183">
      <c r="G2183" s="3"/>
    </row>
    <row r="2184">
      <c r="G2184" s="3"/>
    </row>
    <row r="2185">
      <c r="G2185" s="3"/>
    </row>
    <row r="2186">
      <c r="G2186" s="3"/>
    </row>
    <row r="2187">
      <c r="G2187" s="3"/>
    </row>
    <row r="2188">
      <c r="G2188" s="3"/>
    </row>
    <row r="2189">
      <c r="G2189" s="3"/>
    </row>
    <row r="2190">
      <c r="G2190" s="3"/>
    </row>
    <row r="2191">
      <c r="G2191" s="3"/>
    </row>
    <row r="2192">
      <c r="G2192" s="3"/>
    </row>
    <row r="2193">
      <c r="G2193" s="3"/>
    </row>
    <row r="2194">
      <c r="G2194" s="3"/>
    </row>
    <row r="2195">
      <c r="G2195" s="3"/>
    </row>
    <row r="2196">
      <c r="G2196" s="3"/>
    </row>
    <row r="2197">
      <c r="G2197" s="3"/>
    </row>
    <row r="2198">
      <c r="G2198" s="3"/>
    </row>
    <row r="2199">
      <c r="G2199" s="3"/>
    </row>
    <row r="2200">
      <c r="G2200" s="3"/>
    </row>
    <row r="2201">
      <c r="G2201" s="3"/>
    </row>
    <row r="2202">
      <c r="G2202" s="3"/>
    </row>
    <row r="2203">
      <c r="G2203" s="3"/>
    </row>
    <row r="2204">
      <c r="G2204" s="3"/>
    </row>
    <row r="2205">
      <c r="G2205" s="3"/>
    </row>
    <row r="2206">
      <c r="G2206" s="3"/>
    </row>
    <row r="2207">
      <c r="G2207" s="3"/>
    </row>
    <row r="2208">
      <c r="G2208" s="3"/>
    </row>
    <row r="2209">
      <c r="G2209" s="3"/>
    </row>
    <row r="2210">
      <c r="G2210" s="3"/>
    </row>
    <row r="2211">
      <c r="G2211" s="3"/>
    </row>
    <row r="2212">
      <c r="G2212" s="3"/>
    </row>
    <row r="2213">
      <c r="G2213" s="3"/>
    </row>
    <row r="2214">
      <c r="G2214" s="3"/>
    </row>
    <row r="2215">
      <c r="G2215" s="3"/>
    </row>
    <row r="2216">
      <c r="G2216" s="3"/>
    </row>
    <row r="2217">
      <c r="G2217" s="3"/>
    </row>
    <row r="2218">
      <c r="G2218" s="3"/>
    </row>
    <row r="2219">
      <c r="G2219" s="3"/>
    </row>
    <row r="2220">
      <c r="G2220" s="3"/>
    </row>
    <row r="2221">
      <c r="G2221" s="3"/>
    </row>
    <row r="2222">
      <c r="G2222" s="3"/>
    </row>
    <row r="2223">
      <c r="G2223" s="3"/>
    </row>
    <row r="2224">
      <c r="G2224" s="3"/>
    </row>
    <row r="2225">
      <c r="G2225" s="3"/>
    </row>
    <row r="2226">
      <c r="G2226" s="3"/>
    </row>
    <row r="2227">
      <c r="G2227" s="3"/>
    </row>
    <row r="2228">
      <c r="G2228" s="3"/>
    </row>
    <row r="2229">
      <c r="G2229" s="3"/>
    </row>
    <row r="2230">
      <c r="G2230" s="3"/>
    </row>
    <row r="2231">
      <c r="G2231" s="3"/>
    </row>
    <row r="2232">
      <c r="G2232" s="3"/>
    </row>
    <row r="2233">
      <c r="G2233" s="3"/>
    </row>
    <row r="2234">
      <c r="G2234" s="3"/>
    </row>
    <row r="2235">
      <c r="G2235" s="3"/>
    </row>
    <row r="2236">
      <c r="G2236" s="3"/>
    </row>
    <row r="2237">
      <c r="G2237" s="3"/>
    </row>
    <row r="2238">
      <c r="G2238" s="3"/>
    </row>
    <row r="2239">
      <c r="G2239" s="3"/>
    </row>
    <row r="2240">
      <c r="G2240" s="3"/>
    </row>
    <row r="2241">
      <c r="G2241" s="3"/>
    </row>
    <row r="2242">
      <c r="G2242" s="3"/>
    </row>
    <row r="2243">
      <c r="G2243" s="3"/>
    </row>
    <row r="2244">
      <c r="G2244" s="3"/>
    </row>
    <row r="2245">
      <c r="G2245" s="3"/>
    </row>
    <row r="2246">
      <c r="G2246" s="3"/>
    </row>
    <row r="2247">
      <c r="G2247" s="3"/>
    </row>
    <row r="2248">
      <c r="G2248" s="3"/>
    </row>
    <row r="2249">
      <c r="G2249" s="3"/>
    </row>
    <row r="2250">
      <c r="G2250" s="3"/>
    </row>
    <row r="2251">
      <c r="G2251" s="3"/>
    </row>
    <row r="2252">
      <c r="G2252" s="3"/>
    </row>
    <row r="2253">
      <c r="G2253" s="3"/>
    </row>
    <row r="2254">
      <c r="G2254" s="3"/>
    </row>
    <row r="2255">
      <c r="G2255" s="3"/>
    </row>
    <row r="2256">
      <c r="G2256" s="3"/>
    </row>
    <row r="2257">
      <c r="G2257" s="3"/>
    </row>
    <row r="2258">
      <c r="G2258" s="3"/>
    </row>
    <row r="2259">
      <c r="G2259" s="3"/>
    </row>
    <row r="2260">
      <c r="G2260" s="3"/>
    </row>
    <row r="2261">
      <c r="G2261" s="3"/>
    </row>
    <row r="2262">
      <c r="G2262" s="3"/>
    </row>
    <row r="2263">
      <c r="G2263" s="3"/>
    </row>
    <row r="2264">
      <c r="G2264" s="3"/>
    </row>
    <row r="2265">
      <c r="G2265" s="3"/>
    </row>
    <row r="2266">
      <c r="G2266" s="3"/>
    </row>
    <row r="2267">
      <c r="G2267" s="3"/>
    </row>
    <row r="2268">
      <c r="G2268" s="3"/>
    </row>
    <row r="2269">
      <c r="G2269" s="3"/>
    </row>
    <row r="2270">
      <c r="G2270" s="3"/>
    </row>
    <row r="2271">
      <c r="G2271" s="3"/>
    </row>
    <row r="2272">
      <c r="G2272" s="3"/>
    </row>
    <row r="2273">
      <c r="G2273" s="3"/>
    </row>
    <row r="2274">
      <c r="G2274" s="3"/>
    </row>
    <row r="2275">
      <c r="G2275" s="3"/>
    </row>
    <row r="2276">
      <c r="G2276" s="3"/>
    </row>
    <row r="2277">
      <c r="G2277" s="3"/>
    </row>
    <row r="2278">
      <c r="G2278" s="3"/>
    </row>
    <row r="2279">
      <c r="G2279" s="3"/>
    </row>
    <row r="2280">
      <c r="G2280" s="3"/>
    </row>
    <row r="2281">
      <c r="G2281" s="3"/>
    </row>
    <row r="2282">
      <c r="G2282" s="3"/>
    </row>
    <row r="2283">
      <c r="G2283" s="3"/>
    </row>
    <row r="2284">
      <c r="G2284" s="3"/>
    </row>
    <row r="2285">
      <c r="G2285" s="3"/>
    </row>
    <row r="2286">
      <c r="G2286" s="3"/>
    </row>
    <row r="2287">
      <c r="G2287" s="3"/>
    </row>
    <row r="2288">
      <c r="G2288" s="3"/>
    </row>
    <row r="2289">
      <c r="G2289" s="3"/>
    </row>
    <row r="2290">
      <c r="G2290" s="3"/>
    </row>
    <row r="2291">
      <c r="G2291" s="3"/>
    </row>
    <row r="2292">
      <c r="G2292" s="3"/>
    </row>
    <row r="2293">
      <c r="G2293" s="3"/>
    </row>
    <row r="2294">
      <c r="G2294" s="3"/>
    </row>
    <row r="2295">
      <c r="G2295" s="3"/>
    </row>
    <row r="2296">
      <c r="G2296" s="3"/>
    </row>
    <row r="2297">
      <c r="G2297" s="3"/>
    </row>
    <row r="2298">
      <c r="G2298" s="3"/>
    </row>
    <row r="2299">
      <c r="G2299" s="3"/>
    </row>
    <row r="2300">
      <c r="G2300" s="3"/>
    </row>
    <row r="2301">
      <c r="G2301" s="3"/>
    </row>
    <row r="2302">
      <c r="G2302" s="3"/>
    </row>
    <row r="2303">
      <c r="G2303" s="3"/>
    </row>
    <row r="2304">
      <c r="G2304" s="3"/>
    </row>
    <row r="2305">
      <c r="G2305" s="3"/>
    </row>
    <row r="2306">
      <c r="G2306" s="3"/>
    </row>
    <row r="2307">
      <c r="G2307" s="3"/>
    </row>
    <row r="2308">
      <c r="G2308" s="3"/>
    </row>
    <row r="2309">
      <c r="G2309" s="3"/>
    </row>
    <row r="2310">
      <c r="G2310" s="3"/>
    </row>
    <row r="2311">
      <c r="G2311" s="3"/>
    </row>
    <row r="2312">
      <c r="G2312" s="3"/>
    </row>
    <row r="2313">
      <c r="G2313" s="3"/>
    </row>
    <row r="2314">
      <c r="G2314" s="3"/>
    </row>
    <row r="2315">
      <c r="G2315" s="3"/>
    </row>
    <row r="2316">
      <c r="G2316" s="3"/>
    </row>
    <row r="2317">
      <c r="G2317" s="3"/>
    </row>
    <row r="2318">
      <c r="G2318" s="3"/>
    </row>
    <row r="2319">
      <c r="G2319" s="3"/>
    </row>
    <row r="2320">
      <c r="G2320" s="3"/>
    </row>
    <row r="2321">
      <c r="G2321" s="3"/>
    </row>
    <row r="2322">
      <c r="G2322" s="3"/>
    </row>
    <row r="2323">
      <c r="G2323" s="3"/>
    </row>
    <row r="2324">
      <c r="G2324" s="3"/>
    </row>
    <row r="2325">
      <c r="G2325" s="3"/>
    </row>
    <row r="2326">
      <c r="G2326" s="3"/>
    </row>
    <row r="2327">
      <c r="G2327" s="3"/>
    </row>
    <row r="2328">
      <c r="G2328" s="3"/>
    </row>
    <row r="2329">
      <c r="G2329" s="3"/>
    </row>
    <row r="2330">
      <c r="G2330" s="3"/>
    </row>
    <row r="2331">
      <c r="G2331" s="3"/>
    </row>
    <row r="2332">
      <c r="G2332" s="3"/>
    </row>
    <row r="2333">
      <c r="G2333" s="3"/>
    </row>
    <row r="2334">
      <c r="G2334" s="3"/>
    </row>
    <row r="2335">
      <c r="G2335" s="3"/>
    </row>
    <row r="2336">
      <c r="G2336" s="3"/>
    </row>
    <row r="2337">
      <c r="G2337" s="3"/>
    </row>
    <row r="2338">
      <c r="G2338" s="3"/>
    </row>
    <row r="2339">
      <c r="G2339" s="3"/>
    </row>
    <row r="2340">
      <c r="G2340" s="3"/>
    </row>
    <row r="2341">
      <c r="G2341" s="3"/>
    </row>
    <row r="2342">
      <c r="G2342" s="3"/>
    </row>
    <row r="2343">
      <c r="G2343" s="3"/>
    </row>
    <row r="2344">
      <c r="G2344" s="3"/>
    </row>
    <row r="2345">
      <c r="G2345" s="3"/>
    </row>
    <row r="2346">
      <c r="G2346" s="3"/>
    </row>
    <row r="2347">
      <c r="G2347" s="3"/>
    </row>
    <row r="2348">
      <c r="G2348" s="3"/>
    </row>
    <row r="2349">
      <c r="G2349" s="3"/>
    </row>
    <row r="2350">
      <c r="G2350" s="3"/>
    </row>
    <row r="2351">
      <c r="G2351" s="3"/>
    </row>
    <row r="2352">
      <c r="G2352" s="3"/>
    </row>
    <row r="2353">
      <c r="G2353" s="3"/>
    </row>
    <row r="2354">
      <c r="G2354" s="3"/>
    </row>
    <row r="2355">
      <c r="G2355" s="3"/>
    </row>
    <row r="2356">
      <c r="G2356" s="3"/>
    </row>
    <row r="2357">
      <c r="G2357" s="3"/>
    </row>
    <row r="2358">
      <c r="G2358" s="3"/>
    </row>
    <row r="2359">
      <c r="G2359" s="3"/>
    </row>
    <row r="2360">
      <c r="G2360" s="3"/>
    </row>
    <row r="2361">
      <c r="G2361" s="3"/>
    </row>
    <row r="2362">
      <c r="G2362" s="3"/>
    </row>
    <row r="2363">
      <c r="G2363" s="3"/>
    </row>
    <row r="2364">
      <c r="G2364" s="3"/>
    </row>
    <row r="2365">
      <c r="G2365" s="3"/>
    </row>
    <row r="2366">
      <c r="G2366" s="3"/>
    </row>
    <row r="2367">
      <c r="G2367" s="3"/>
    </row>
    <row r="2368">
      <c r="G2368" s="3"/>
    </row>
    <row r="2369">
      <c r="G2369" s="3"/>
    </row>
    <row r="2370">
      <c r="G2370" s="3"/>
    </row>
    <row r="2371">
      <c r="G2371" s="3"/>
    </row>
    <row r="2372">
      <c r="G2372" s="3"/>
    </row>
    <row r="2373">
      <c r="G2373" s="3"/>
    </row>
    <row r="2374">
      <c r="G2374" s="3"/>
    </row>
    <row r="2375">
      <c r="G2375" s="3"/>
    </row>
    <row r="2376">
      <c r="G2376" s="3"/>
    </row>
    <row r="2377">
      <c r="G2377" s="3"/>
    </row>
    <row r="2378">
      <c r="G2378" s="3"/>
    </row>
    <row r="2379">
      <c r="G2379" s="3"/>
    </row>
    <row r="2380">
      <c r="G2380" s="3"/>
    </row>
    <row r="2381">
      <c r="G2381" s="3"/>
    </row>
    <row r="2382">
      <c r="G2382" s="3"/>
    </row>
    <row r="2383">
      <c r="G2383" s="3"/>
    </row>
    <row r="2384">
      <c r="G2384" s="3"/>
    </row>
    <row r="2385">
      <c r="G2385" s="3"/>
    </row>
    <row r="2386">
      <c r="G2386" s="3"/>
    </row>
    <row r="2387">
      <c r="G2387" s="3"/>
    </row>
    <row r="2388">
      <c r="G2388" s="3"/>
    </row>
    <row r="2389">
      <c r="G2389" s="3"/>
    </row>
    <row r="2390">
      <c r="G2390" s="3"/>
    </row>
    <row r="2391">
      <c r="G2391" s="3"/>
    </row>
    <row r="2392">
      <c r="G2392" s="3"/>
    </row>
    <row r="2393">
      <c r="G2393" s="3"/>
    </row>
    <row r="2394">
      <c r="G2394" s="3"/>
    </row>
    <row r="2395">
      <c r="G2395" s="3"/>
    </row>
    <row r="2396">
      <c r="G2396" s="3"/>
    </row>
    <row r="2397">
      <c r="G2397" s="3"/>
    </row>
    <row r="2398">
      <c r="G2398" s="3"/>
    </row>
    <row r="2399">
      <c r="G2399" s="3"/>
    </row>
    <row r="2400">
      <c r="G2400" s="3"/>
    </row>
    <row r="2401">
      <c r="G2401" s="3"/>
    </row>
    <row r="2402">
      <c r="G2402" s="3"/>
    </row>
    <row r="2403">
      <c r="G2403" s="3"/>
    </row>
    <row r="2404">
      <c r="G2404" s="3"/>
    </row>
    <row r="2405">
      <c r="G2405" s="3"/>
    </row>
    <row r="2406">
      <c r="G2406" s="3"/>
    </row>
    <row r="2407">
      <c r="G2407" s="3"/>
    </row>
    <row r="2408">
      <c r="G2408" s="3"/>
    </row>
    <row r="2409">
      <c r="G2409" s="3"/>
    </row>
    <row r="2410">
      <c r="G2410" s="3"/>
    </row>
    <row r="2411">
      <c r="G2411" s="3"/>
    </row>
    <row r="2412">
      <c r="G2412" s="3"/>
    </row>
    <row r="2413">
      <c r="G2413" s="3"/>
    </row>
    <row r="2414">
      <c r="G2414" s="3"/>
    </row>
    <row r="2415">
      <c r="G2415" s="3"/>
    </row>
    <row r="2416">
      <c r="G2416" s="3"/>
    </row>
    <row r="2417">
      <c r="G2417" s="3"/>
    </row>
    <row r="2418">
      <c r="G2418" s="3"/>
    </row>
    <row r="2419">
      <c r="G2419" s="3"/>
    </row>
    <row r="2420">
      <c r="G2420" s="3"/>
    </row>
    <row r="2421">
      <c r="G2421" s="3"/>
    </row>
    <row r="2422">
      <c r="G2422" s="3"/>
    </row>
    <row r="2423">
      <c r="G2423" s="3"/>
    </row>
    <row r="2424">
      <c r="G2424" s="3"/>
    </row>
    <row r="2425">
      <c r="G2425" s="3"/>
    </row>
    <row r="2426">
      <c r="G2426" s="3"/>
    </row>
    <row r="2427">
      <c r="G2427" s="3"/>
    </row>
    <row r="2428">
      <c r="G2428" s="3"/>
    </row>
    <row r="2429">
      <c r="G2429" s="3"/>
    </row>
    <row r="2430">
      <c r="G2430" s="3"/>
    </row>
    <row r="2431">
      <c r="G2431" s="3"/>
    </row>
    <row r="2432">
      <c r="G2432" s="3"/>
    </row>
    <row r="2433">
      <c r="G2433" s="3"/>
    </row>
    <row r="2434">
      <c r="G2434" s="3"/>
    </row>
    <row r="2435">
      <c r="G2435" s="3"/>
    </row>
    <row r="2436">
      <c r="G2436" s="3"/>
    </row>
    <row r="2437">
      <c r="G2437" s="3"/>
    </row>
    <row r="2438">
      <c r="G2438" s="3"/>
    </row>
    <row r="2439">
      <c r="G2439" s="3"/>
    </row>
    <row r="2440">
      <c r="G2440" s="3"/>
    </row>
    <row r="2441">
      <c r="G2441" s="3"/>
    </row>
    <row r="2442">
      <c r="G2442" s="3"/>
    </row>
    <row r="2443">
      <c r="G2443" s="3"/>
    </row>
    <row r="2444">
      <c r="G2444" s="3"/>
    </row>
    <row r="2445">
      <c r="G2445" s="3"/>
    </row>
    <row r="2446">
      <c r="G2446" s="3"/>
    </row>
    <row r="2447">
      <c r="G2447" s="3"/>
    </row>
    <row r="2448">
      <c r="G2448" s="3"/>
    </row>
    <row r="2449">
      <c r="G2449" s="3"/>
    </row>
    <row r="2450">
      <c r="G2450" s="3"/>
    </row>
    <row r="2451">
      <c r="G2451" s="3"/>
    </row>
    <row r="2452">
      <c r="G2452" s="3"/>
    </row>
    <row r="2453">
      <c r="G2453" s="3"/>
    </row>
    <row r="2454">
      <c r="G2454" s="3"/>
    </row>
    <row r="2455">
      <c r="G2455" s="3"/>
    </row>
    <row r="2456">
      <c r="G2456" s="3"/>
    </row>
    <row r="2457">
      <c r="G2457" s="3"/>
    </row>
    <row r="2458">
      <c r="G2458" s="3"/>
    </row>
    <row r="2459">
      <c r="G2459" s="3"/>
    </row>
    <row r="2460">
      <c r="G2460" s="3"/>
    </row>
    <row r="2461">
      <c r="G2461" s="3"/>
    </row>
    <row r="2462">
      <c r="G2462" s="3"/>
    </row>
    <row r="2463">
      <c r="G2463" s="3"/>
    </row>
    <row r="2464">
      <c r="G2464" s="3"/>
    </row>
    <row r="2465">
      <c r="G2465" s="3"/>
    </row>
    <row r="2466">
      <c r="G2466" s="3"/>
    </row>
    <row r="2467">
      <c r="G2467" s="3"/>
    </row>
    <row r="2468">
      <c r="G2468" s="3"/>
    </row>
    <row r="2469">
      <c r="G2469" s="3"/>
    </row>
    <row r="2470">
      <c r="G2470" s="3"/>
    </row>
    <row r="2471">
      <c r="G2471" s="3"/>
    </row>
    <row r="2472">
      <c r="G2472" s="3"/>
    </row>
    <row r="2473">
      <c r="G2473" s="3"/>
    </row>
    <row r="2474">
      <c r="G2474" s="3"/>
    </row>
    <row r="2475">
      <c r="G2475" s="3"/>
    </row>
    <row r="2476">
      <c r="G2476" s="3"/>
    </row>
    <row r="2477">
      <c r="G2477" s="3"/>
    </row>
    <row r="2478">
      <c r="G2478" s="3"/>
    </row>
    <row r="2479">
      <c r="G2479" s="3"/>
    </row>
    <row r="2480">
      <c r="G2480" s="3"/>
    </row>
    <row r="2481">
      <c r="G2481" s="3"/>
    </row>
    <row r="2482">
      <c r="G2482" s="3"/>
    </row>
    <row r="2483">
      <c r="G2483" s="3"/>
    </row>
    <row r="2484">
      <c r="G2484" s="3"/>
    </row>
    <row r="2485">
      <c r="G2485" s="3"/>
    </row>
    <row r="2486">
      <c r="G2486" s="3"/>
    </row>
    <row r="2487">
      <c r="G2487" s="3"/>
    </row>
    <row r="2488">
      <c r="G2488" s="3"/>
    </row>
    <row r="2489">
      <c r="G2489" s="3"/>
    </row>
    <row r="2490">
      <c r="G2490" s="3"/>
    </row>
    <row r="2491">
      <c r="G2491" s="3"/>
    </row>
    <row r="2492">
      <c r="G2492" s="3"/>
    </row>
    <row r="2493">
      <c r="G2493" s="3"/>
    </row>
    <row r="2494">
      <c r="G2494" s="3"/>
    </row>
    <row r="2495">
      <c r="G2495" s="3"/>
    </row>
    <row r="2496">
      <c r="G2496" s="3"/>
    </row>
    <row r="2497">
      <c r="G2497" s="3"/>
    </row>
    <row r="2498">
      <c r="G2498" s="3"/>
    </row>
    <row r="2499">
      <c r="G2499" s="3"/>
    </row>
    <row r="2500">
      <c r="G2500" s="3"/>
    </row>
    <row r="2501">
      <c r="G2501" s="3"/>
    </row>
    <row r="2502">
      <c r="G2502" s="3"/>
    </row>
    <row r="2503">
      <c r="G2503" s="3"/>
    </row>
    <row r="2504">
      <c r="G2504" s="3"/>
    </row>
    <row r="2505">
      <c r="G2505" s="3"/>
    </row>
    <row r="2506">
      <c r="G2506" s="3"/>
    </row>
    <row r="2507">
      <c r="G2507" s="3"/>
    </row>
    <row r="2508">
      <c r="G2508" s="3"/>
    </row>
    <row r="2509">
      <c r="G2509" s="3"/>
    </row>
    <row r="2510">
      <c r="G2510" s="3"/>
    </row>
    <row r="2511">
      <c r="G2511" s="3"/>
    </row>
    <row r="2512">
      <c r="G2512" s="3"/>
    </row>
    <row r="2513">
      <c r="G2513" s="3"/>
    </row>
    <row r="2514">
      <c r="G2514" s="3"/>
    </row>
    <row r="2515">
      <c r="G2515" s="3"/>
    </row>
    <row r="2516">
      <c r="G2516" s="3"/>
    </row>
    <row r="2517">
      <c r="G2517" s="3"/>
    </row>
    <row r="2518">
      <c r="G2518" s="3"/>
    </row>
    <row r="2519">
      <c r="G2519" s="3"/>
    </row>
    <row r="2520">
      <c r="G2520" s="3"/>
    </row>
    <row r="2521">
      <c r="G2521" s="3"/>
    </row>
    <row r="2522">
      <c r="G2522" s="3"/>
    </row>
    <row r="2523">
      <c r="G2523" s="3"/>
    </row>
    <row r="2524">
      <c r="G2524" s="3"/>
    </row>
    <row r="2525">
      <c r="G2525" s="3"/>
    </row>
    <row r="2526">
      <c r="G2526" s="3"/>
    </row>
    <row r="2527">
      <c r="G2527" s="3"/>
    </row>
    <row r="2528">
      <c r="G2528" s="3"/>
    </row>
    <row r="2529">
      <c r="G2529" s="3"/>
    </row>
    <row r="2530">
      <c r="G2530" s="3"/>
    </row>
    <row r="2531">
      <c r="G2531" s="3"/>
    </row>
    <row r="2532">
      <c r="G2532" s="3"/>
    </row>
    <row r="2533">
      <c r="G2533" s="3"/>
    </row>
    <row r="2534">
      <c r="G2534" s="3"/>
    </row>
    <row r="2535">
      <c r="G2535" s="3"/>
    </row>
    <row r="2536">
      <c r="G2536" s="3"/>
    </row>
    <row r="2537">
      <c r="G2537" s="3"/>
    </row>
    <row r="2538">
      <c r="G2538" s="3"/>
    </row>
    <row r="2539">
      <c r="G2539" s="3"/>
    </row>
    <row r="2540">
      <c r="G2540" s="3"/>
    </row>
    <row r="2541">
      <c r="G2541" s="3"/>
    </row>
    <row r="2542">
      <c r="G2542" s="3"/>
    </row>
    <row r="2543">
      <c r="G2543" s="3"/>
    </row>
    <row r="2544">
      <c r="G2544" s="3"/>
    </row>
    <row r="2545">
      <c r="G2545" s="3"/>
    </row>
    <row r="2546">
      <c r="G2546" s="3"/>
    </row>
    <row r="2547">
      <c r="G2547" s="3"/>
    </row>
    <row r="2548">
      <c r="G2548" s="3"/>
    </row>
    <row r="2549">
      <c r="G2549" s="3"/>
    </row>
    <row r="2550">
      <c r="G2550" s="3"/>
    </row>
    <row r="2551">
      <c r="G2551" s="3"/>
    </row>
    <row r="2552">
      <c r="G2552" s="3"/>
    </row>
    <row r="2553">
      <c r="G2553" s="3"/>
    </row>
    <row r="2554">
      <c r="G2554" s="3"/>
    </row>
    <row r="2555">
      <c r="G2555" s="3"/>
    </row>
    <row r="2556">
      <c r="G2556" s="3"/>
    </row>
    <row r="2557">
      <c r="G2557" s="3"/>
    </row>
    <row r="2558">
      <c r="G2558" s="3"/>
    </row>
    <row r="2559">
      <c r="G2559" s="3"/>
    </row>
    <row r="2560">
      <c r="G2560" s="3"/>
    </row>
    <row r="2561">
      <c r="G2561" s="3"/>
    </row>
    <row r="2562">
      <c r="G2562" s="3"/>
    </row>
    <row r="2563">
      <c r="G2563" s="3"/>
    </row>
    <row r="2564">
      <c r="G2564" s="3"/>
    </row>
    <row r="2565">
      <c r="G2565" s="3"/>
    </row>
    <row r="2566">
      <c r="G2566" s="3"/>
    </row>
    <row r="2567">
      <c r="G2567" s="3"/>
    </row>
    <row r="2568">
      <c r="G2568" s="3"/>
    </row>
    <row r="2569">
      <c r="G2569" s="3"/>
    </row>
    <row r="2570">
      <c r="G2570" s="3"/>
    </row>
    <row r="2571">
      <c r="G2571" s="3"/>
    </row>
    <row r="2572">
      <c r="G2572" s="3"/>
    </row>
    <row r="2573">
      <c r="G2573" s="3"/>
    </row>
    <row r="2574">
      <c r="G2574" s="3"/>
    </row>
    <row r="2575">
      <c r="G2575" s="3"/>
    </row>
    <row r="2576">
      <c r="G2576" s="3"/>
    </row>
    <row r="2577">
      <c r="G2577" s="3"/>
    </row>
    <row r="2578">
      <c r="G2578" s="3"/>
    </row>
    <row r="2579">
      <c r="G2579" s="3"/>
    </row>
    <row r="2580">
      <c r="G2580" s="3"/>
    </row>
    <row r="2581">
      <c r="G2581" s="3"/>
    </row>
    <row r="2582">
      <c r="G2582" s="3"/>
    </row>
    <row r="2583">
      <c r="G2583" s="3"/>
    </row>
    <row r="2584">
      <c r="G2584" s="3"/>
    </row>
    <row r="2585">
      <c r="G2585" s="3"/>
    </row>
    <row r="2586">
      <c r="G2586" s="3"/>
    </row>
    <row r="2587">
      <c r="G2587" s="3"/>
    </row>
    <row r="2588">
      <c r="G2588" s="3"/>
    </row>
    <row r="2589">
      <c r="G2589" s="3"/>
    </row>
    <row r="2590">
      <c r="G2590" s="3"/>
    </row>
    <row r="2591">
      <c r="G2591" s="3"/>
    </row>
    <row r="2592">
      <c r="G2592" s="3"/>
    </row>
    <row r="2593">
      <c r="G2593" s="3"/>
    </row>
    <row r="2594">
      <c r="G2594" s="3"/>
    </row>
    <row r="2595">
      <c r="G2595" s="3"/>
    </row>
    <row r="2596">
      <c r="G2596" s="3"/>
    </row>
    <row r="2597">
      <c r="G2597" s="3"/>
    </row>
    <row r="2598">
      <c r="G2598" s="3"/>
    </row>
    <row r="2599">
      <c r="G2599" s="3"/>
    </row>
    <row r="2600">
      <c r="G2600" s="3"/>
    </row>
    <row r="2601">
      <c r="G2601" s="3"/>
    </row>
    <row r="2602">
      <c r="G2602" s="3"/>
    </row>
    <row r="2603">
      <c r="G2603" s="3"/>
    </row>
    <row r="2604">
      <c r="G2604" s="3"/>
    </row>
    <row r="2605">
      <c r="G2605" s="3"/>
    </row>
    <row r="2606">
      <c r="G2606" s="3"/>
    </row>
    <row r="2607">
      <c r="G2607" s="3"/>
    </row>
    <row r="2608">
      <c r="G2608" s="3"/>
    </row>
    <row r="2609">
      <c r="G2609" s="3"/>
    </row>
    <row r="2610">
      <c r="G2610" s="3"/>
    </row>
    <row r="2611">
      <c r="G2611" s="3"/>
    </row>
    <row r="2612">
      <c r="G2612" s="3"/>
    </row>
    <row r="2613">
      <c r="G2613" s="3"/>
    </row>
    <row r="2614">
      <c r="G2614" s="3"/>
    </row>
    <row r="2615">
      <c r="G2615" s="3"/>
    </row>
    <row r="2616">
      <c r="G2616" s="3"/>
    </row>
    <row r="2617">
      <c r="G2617" s="3"/>
    </row>
    <row r="2618">
      <c r="G2618" s="3"/>
    </row>
    <row r="2619">
      <c r="G2619" s="3"/>
    </row>
    <row r="2620">
      <c r="G2620" s="3"/>
    </row>
    <row r="2621">
      <c r="G2621" s="3"/>
    </row>
    <row r="2622">
      <c r="G2622" s="3"/>
    </row>
    <row r="2623">
      <c r="G2623" s="3"/>
    </row>
    <row r="2624">
      <c r="G2624" s="3"/>
    </row>
    <row r="2625">
      <c r="G2625" s="3"/>
    </row>
    <row r="2626">
      <c r="G2626" s="3"/>
    </row>
    <row r="2627">
      <c r="G2627" s="3"/>
    </row>
    <row r="2628">
      <c r="G2628" s="3"/>
    </row>
    <row r="2629">
      <c r="G2629" s="3"/>
    </row>
    <row r="2630">
      <c r="G2630" s="3"/>
    </row>
    <row r="2631">
      <c r="G2631" s="3"/>
    </row>
    <row r="2632">
      <c r="G2632" s="3"/>
    </row>
    <row r="2633">
      <c r="G2633" s="3"/>
    </row>
    <row r="2634">
      <c r="G2634" s="3"/>
    </row>
    <row r="2635">
      <c r="G2635" s="3"/>
    </row>
    <row r="2636">
      <c r="G2636" s="3"/>
    </row>
    <row r="2637">
      <c r="G2637" s="3"/>
    </row>
    <row r="2638">
      <c r="G2638" s="3"/>
    </row>
    <row r="2639">
      <c r="G2639" s="3"/>
    </row>
    <row r="2640">
      <c r="G2640" s="3"/>
    </row>
    <row r="2641">
      <c r="G2641" s="3"/>
    </row>
    <row r="2642">
      <c r="G2642" s="3"/>
    </row>
    <row r="2643">
      <c r="G2643" s="3"/>
    </row>
    <row r="2644">
      <c r="G2644" s="3"/>
    </row>
    <row r="2645">
      <c r="G2645" s="3"/>
    </row>
    <row r="2646">
      <c r="G2646" s="3"/>
    </row>
    <row r="2647">
      <c r="G2647" s="3"/>
    </row>
    <row r="2648">
      <c r="G2648" s="3"/>
    </row>
    <row r="2649">
      <c r="G2649" s="3"/>
    </row>
    <row r="2650">
      <c r="G2650" s="3"/>
    </row>
    <row r="2651">
      <c r="G2651" s="3"/>
    </row>
    <row r="2652">
      <c r="G2652" s="3"/>
    </row>
    <row r="2653">
      <c r="G2653" s="3"/>
    </row>
    <row r="2654">
      <c r="G2654" s="3"/>
    </row>
    <row r="2655">
      <c r="G2655" s="3"/>
    </row>
    <row r="2656">
      <c r="G2656" s="3"/>
    </row>
    <row r="2657">
      <c r="G2657" s="3"/>
    </row>
    <row r="2658">
      <c r="G2658" s="3"/>
    </row>
    <row r="2659">
      <c r="G2659" s="3"/>
    </row>
    <row r="2660">
      <c r="G2660" s="3"/>
    </row>
    <row r="2661">
      <c r="G2661" s="3"/>
    </row>
    <row r="2662">
      <c r="G2662" s="3"/>
    </row>
    <row r="2663">
      <c r="G2663" s="3"/>
    </row>
    <row r="2664">
      <c r="G2664" s="3"/>
    </row>
    <row r="2665">
      <c r="G2665" s="3"/>
    </row>
    <row r="2666">
      <c r="G2666" s="3"/>
    </row>
    <row r="2667">
      <c r="G2667" s="3"/>
    </row>
    <row r="2668">
      <c r="G2668" s="3"/>
    </row>
    <row r="2669">
      <c r="G2669" s="3"/>
    </row>
    <row r="2670">
      <c r="G2670" s="3"/>
    </row>
    <row r="2671">
      <c r="G2671" s="3"/>
    </row>
    <row r="2672">
      <c r="G2672" s="3"/>
    </row>
    <row r="2673">
      <c r="G2673" s="3"/>
    </row>
    <row r="2674">
      <c r="G2674" s="3"/>
    </row>
    <row r="2675">
      <c r="G2675" s="3"/>
    </row>
    <row r="2676">
      <c r="G2676" s="3"/>
    </row>
    <row r="2677">
      <c r="G2677" s="3"/>
    </row>
    <row r="2678">
      <c r="G2678" s="3"/>
    </row>
    <row r="2679">
      <c r="G2679" s="3"/>
    </row>
    <row r="2680">
      <c r="G2680" s="3"/>
    </row>
    <row r="2681">
      <c r="G2681" s="3"/>
    </row>
    <row r="2682">
      <c r="G2682" s="3"/>
    </row>
    <row r="2683">
      <c r="G2683" s="3"/>
    </row>
    <row r="2684">
      <c r="G2684" s="3"/>
    </row>
    <row r="2685">
      <c r="G2685" s="3"/>
    </row>
    <row r="2686">
      <c r="G2686" s="3"/>
    </row>
    <row r="2687">
      <c r="G2687" s="3"/>
    </row>
    <row r="2688">
      <c r="G2688" s="3"/>
    </row>
    <row r="2689">
      <c r="G2689" s="3"/>
    </row>
    <row r="2690">
      <c r="G2690" s="3"/>
    </row>
    <row r="2691">
      <c r="G2691" s="3"/>
    </row>
    <row r="2692">
      <c r="G2692" s="3"/>
    </row>
    <row r="2693">
      <c r="G2693" s="3"/>
    </row>
    <row r="2694">
      <c r="G2694" s="3"/>
    </row>
    <row r="2695">
      <c r="G2695" s="3"/>
    </row>
    <row r="2696">
      <c r="G2696" s="3"/>
    </row>
    <row r="2697">
      <c r="G2697" s="3"/>
    </row>
    <row r="2698">
      <c r="G2698" s="3"/>
    </row>
    <row r="2699">
      <c r="G2699" s="3"/>
    </row>
    <row r="2700">
      <c r="G2700" s="3"/>
    </row>
    <row r="2701">
      <c r="G2701" s="3"/>
    </row>
    <row r="2702">
      <c r="G2702" s="3"/>
    </row>
    <row r="2703">
      <c r="G2703" s="3"/>
    </row>
    <row r="2704">
      <c r="G2704" s="3"/>
    </row>
    <row r="2705">
      <c r="G2705" s="3"/>
    </row>
    <row r="2706">
      <c r="G2706" s="3"/>
    </row>
    <row r="2707">
      <c r="G2707" s="3"/>
    </row>
    <row r="2708">
      <c r="G2708" s="3"/>
    </row>
    <row r="2709">
      <c r="G2709" s="3"/>
    </row>
    <row r="2710">
      <c r="G2710" s="3"/>
    </row>
    <row r="2711">
      <c r="G2711" s="3"/>
    </row>
    <row r="2712">
      <c r="G2712" s="3"/>
    </row>
    <row r="2713">
      <c r="G2713" s="3"/>
    </row>
    <row r="2714">
      <c r="G2714" s="3"/>
    </row>
    <row r="2715">
      <c r="G2715" s="3"/>
    </row>
    <row r="2716">
      <c r="G2716" s="3"/>
    </row>
    <row r="2717">
      <c r="G2717" s="3"/>
    </row>
    <row r="2718">
      <c r="G2718" s="3"/>
    </row>
    <row r="2719">
      <c r="G2719" s="3"/>
    </row>
    <row r="2720">
      <c r="G2720" s="3"/>
    </row>
    <row r="2721">
      <c r="G2721" s="3"/>
    </row>
    <row r="2722">
      <c r="G2722" s="3"/>
    </row>
    <row r="2723">
      <c r="G2723" s="3"/>
    </row>
    <row r="2724">
      <c r="G2724" s="3"/>
    </row>
    <row r="2725">
      <c r="G2725" s="3"/>
    </row>
    <row r="2726">
      <c r="G2726" s="3"/>
    </row>
    <row r="2727">
      <c r="G2727" s="3"/>
    </row>
    <row r="2728">
      <c r="G2728" s="3"/>
    </row>
    <row r="2729">
      <c r="G2729" s="3"/>
    </row>
    <row r="2730">
      <c r="G2730" s="3"/>
    </row>
    <row r="2731">
      <c r="G2731" s="3"/>
    </row>
    <row r="2732">
      <c r="G2732" s="3"/>
    </row>
    <row r="2733">
      <c r="G2733" s="3"/>
    </row>
    <row r="2734">
      <c r="G2734" s="3"/>
    </row>
    <row r="2735">
      <c r="G2735" s="3"/>
    </row>
    <row r="2736">
      <c r="G2736" s="3"/>
    </row>
    <row r="2737">
      <c r="G2737" s="3"/>
    </row>
    <row r="2738">
      <c r="G2738" s="3"/>
    </row>
    <row r="2739">
      <c r="G2739" s="3"/>
    </row>
    <row r="2740">
      <c r="G2740" s="3"/>
    </row>
    <row r="2741">
      <c r="G2741" s="3"/>
    </row>
    <row r="2742">
      <c r="G2742" s="3"/>
    </row>
    <row r="2743">
      <c r="G2743" s="3"/>
    </row>
    <row r="2744">
      <c r="G2744" s="3"/>
    </row>
    <row r="2745">
      <c r="G2745" s="3"/>
    </row>
    <row r="2746">
      <c r="G2746" s="3"/>
    </row>
    <row r="2747">
      <c r="G2747" s="3"/>
    </row>
    <row r="2748">
      <c r="G2748" s="3"/>
    </row>
    <row r="2749">
      <c r="G2749" s="3"/>
    </row>
    <row r="2750">
      <c r="G2750" s="3"/>
    </row>
    <row r="2751">
      <c r="G2751" s="3"/>
    </row>
    <row r="2752">
      <c r="G2752" s="3"/>
    </row>
    <row r="2753">
      <c r="G2753" s="3"/>
    </row>
    <row r="2754">
      <c r="G2754" s="3"/>
    </row>
    <row r="2755">
      <c r="G2755" s="3"/>
    </row>
    <row r="2756">
      <c r="G2756" s="3"/>
    </row>
    <row r="2757">
      <c r="G2757" s="3"/>
    </row>
    <row r="2758">
      <c r="G2758" s="3"/>
    </row>
    <row r="2759">
      <c r="G2759" s="3"/>
    </row>
    <row r="2760">
      <c r="G2760" s="3"/>
    </row>
    <row r="2761">
      <c r="G2761" s="3"/>
    </row>
    <row r="2762">
      <c r="G2762" s="3"/>
    </row>
    <row r="2763">
      <c r="G2763" s="3"/>
    </row>
    <row r="2764">
      <c r="G2764" s="3"/>
    </row>
    <row r="2765">
      <c r="G2765" s="3"/>
    </row>
    <row r="2766">
      <c r="G2766" s="3"/>
    </row>
    <row r="2767">
      <c r="G2767" s="3"/>
    </row>
    <row r="2768">
      <c r="G2768" s="3"/>
    </row>
    <row r="2769">
      <c r="G2769" s="3"/>
    </row>
    <row r="2770">
      <c r="G2770" s="3"/>
    </row>
    <row r="2771">
      <c r="G2771" s="3"/>
    </row>
    <row r="2772">
      <c r="G2772" s="3"/>
    </row>
    <row r="2773">
      <c r="G2773" s="3"/>
    </row>
    <row r="2774">
      <c r="G2774" s="3"/>
    </row>
    <row r="2775">
      <c r="G2775" s="3"/>
    </row>
    <row r="2776">
      <c r="G2776" s="3"/>
    </row>
    <row r="2777">
      <c r="G2777" s="3"/>
    </row>
    <row r="2778">
      <c r="G2778" s="3"/>
    </row>
    <row r="2779">
      <c r="G2779" s="3"/>
    </row>
    <row r="2780">
      <c r="G2780" s="3"/>
    </row>
    <row r="2781">
      <c r="G2781" s="3"/>
    </row>
    <row r="2782">
      <c r="G2782" s="3"/>
    </row>
    <row r="2783">
      <c r="G2783" s="3"/>
    </row>
    <row r="2784">
      <c r="G2784" s="3"/>
    </row>
    <row r="2785">
      <c r="G2785" s="3"/>
    </row>
    <row r="2786">
      <c r="G2786" s="3"/>
    </row>
    <row r="2787">
      <c r="G2787" s="3"/>
    </row>
    <row r="2788">
      <c r="G2788" s="3"/>
    </row>
    <row r="2789">
      <c r="G2789" s="3"/>
    </row>
    <row r="2790">
      <c r="G2790" s="3"/>
    </row>
    <row r="2791">
      <c r="G2791" s="3"/>
    </row>
    <row r="2792">
      <c r="G2792" s="3"/>
    </row>
    <row r="2793">
      <c r="G2793" s="3"/>
    </row>
    <row r="2794">
      <c r="G2794" s="3"/>
    </row>
    <row r="2795">
      <c r="G2795" s="3"/>
    </row>
    <row r="2796">
      <c r="G2796" s="3"/>
    </row>
    <row r="2797">
      <c r="G2797" s="3"/>
    </row>
    <row r="2798">
      <c r="G2798" s="3"/>
    </row>
    <row r="2799">
      <c r="G2799" s="3"/>
    </row>
    <row r="2800">
      <c r="G2800" s="3"/>
    </row>
    <row r="2801">
      <c r="G2801" s="3"/>
    </row>
    <row r="2802">
      <c r="G2802" s="3"/>
    </row>
    <row r="2803">
      <c r="G2803" s="3"/>
    </row>
    <row r="2804">
      <c r="G2804" s="3"/>
    </row>
    <row r="2805">
      <c r="G2805" s="3"/>
    </row>
    <row r="2806">
      <c r="G2806" s="3"/>
    </row>
    <row r="2807">
      <c r="G2807" s="3"/>
    </row>
    <row r="2808">
      <c r="G2808" s="3"/>
    </row>
    <row r="2809">
      <c r="G2809" s="3"/>
    </row>
    <row r="2810">
      <c r="G2810" s="3"/>
    </row>
    <row r="2811">
      <c r="G2811" s="3"/>
    </row>
    <row r="2812">
      <c r="G2812" s="3"/>
    </row>
    <row r="2813">
      <c r="G2813" s="3"/>
    </row>
    <row r="2814">
      <c r="G2814" s="3"/>
    </row>
    <row r="2815">
      <c r="G2815" s="3"/>
    </row>
    <row r="2816">
      <c r="G2816" s="3"/>
    </row>
    <row r="2817">
      <c r="G2817" s="3"/>
    </row>
    <row r="2818">
      <c r="G2818" s="3"/>
    </row>
    <row r="2819">
      <c r="G2819" s="3"/>
    </row>
    <row r="2820">
      <c r="G2820" s="3"/>
    </row>
    <row r="2821">
      <c r="G2821" s="3"/>
    </row>
    <row r="2822">
      <c r="G2822" s="3"/>
    </row>
    <row r="2823">
      <c r="G2823" s="3"/>
    </row>
    <row r="2824">
      <c r="G2824" s="3"/>
    </row>
    <row r="2825">
      <c r="G2825" s="3"/>
    </row>
    <row r="2826">
      <c r="G2826" s="3"/>
    </row>
    <row r="2827">
      <c r="G2827" s="3"/>
    </row>
    <row r="2828">
      <c r="G2828" s="3"/>
    </row>
    <row r="2829">
      <c r="G2829" s="3"/>
    </row>
    <row r="2830">
      <c r="G2830" s="3"/>
    </row>
    <row r="2831">
      <c r="G2831" s="3"/>
    </row>
    <row r="2832">
      <c r="G2832" s="3"/>
    </row>
    <row r="2833">
      <c r="G2833" s="3"/>
    </row>
    <row r="2834">
      <c r="G2834" s="3"/>
    </row>
    <row r="2835">
      <c r="G2835" s="3"/>
    </row>
    <row r="2836">
      <c r="G2836" s="3"/>
    </row>
    <row r="2837">
      <c r="G2837" s="3"/>
    </row>
    <row r="2838">
      <c r="G2838" s="3"/>
    </row>
    <row r="2839">
      <c r="G2839" s="3"/>
    </row>
    <row r="2840">
      <c r="G2840" s="3"/>
    </row>
    <row r="2841">
      <c r="G2841" s="3"/>
    </row>
    <row r="2842">
      <c r="G2842" s="3"/>
    </row>
    <row r="2843">
      <c r="G2843" s="3"/>
    </row>
    <row r="2844">
      <c r="G2844" s="3"/>
    </row>
    <row r="2845">
      <c r="G2845" s="3"/>
    </row>
    <row r="2846">
      <c r="G2846" s="3"/>
    </row>
    <row r="2847">
      <c r="G2847" s="3"/>
    </row>
    <row r="2848">
      <c r="G2848" s="3"/>
    </row>
    <row r="2849">
      <c r="G2849" s="3"/>
    </row>
    <row r="2850">
      <c r="G2850" s="3"/>
    </row>
    <row r="2851">
      <c r="G2851" s="3"/>
    </row>
    <row r="2852">
      <c r="G2852" s="3"/>
    </row>
    <row r="2853">
      <c r="G2853" s="3"/>
    </row>
    <row r="2854">
      <c r="G2854" s="3"/>
    </row>
    <row r="2855">
      <c r="G2855" s="3"/>
    </row>
    <row r="2856">
      <c r="G2856" s="3"/>
    </row>
    <row r="2857">
      <c r="G2857" s="3"/>
    </row>
    <row r="2858">
      <c r="G2858" s="3"/>
    </row>
    <row r="2859">
      <c r="G2859" s="3"/>
    </row>
    <row r="2860">
      <c r="G2860" s="3"/>
    </row>
    <row r="2861">
      <c r="G2861" s="3"/>
    </row>
    <row r="2862">
      <c r="G2862" s="3"/>
    </row>
    <row r="2863">
      <c r="G2863" s="3"/>
    </row>
    <row r="2864">
      <c r="G2864" s="3"/>
    </row>
    <row r="2865">
      <c r="G2865" s="3"/>
    </row>
    <row r="2866">
      <c r="G2866" s="3"/>
    </row>
    <row r="2867">
      <c r="G2867" s="3"/>
    </row>
    <row r="2868">
      <c r="G2868" s="3"/>
    </row>
    <row r="2869">
      <c r="G2869" s="3"/>
    </row>
    <row r="2870">
      <c r="G2870" s="3"/>
    </row>
    <row r="2871">
      <c r="G2871" s="3"/>
    </row>
    <row r="2872">
      <c r="G2872" s="3"/>
    </row>
    <row r="2873">
      <c r="G2873" s="3"/>
    </row>
    <row r="2874">
      <c r="G2874" s="3"/>
    </row>
    <row r="2875">
      <c r="G2875" s="3"/>
    </row>
    <row r="2876">
      <c r="G2876" s="3"/>
    </row>
    <row r="2877">
      <c r="G2877" s="3"/>
    </row>
    <row r="2878">
      <c r="G2878" s="3"/>
    </row>
    <row r="2879">
      <c r="G2879" s="3"/>
    </row>
    <row r="2880">
      <c r="G2880" s="3"/>
    </row>
    <row r="2881">
      <c r="G2881" s="3"/>
    </row>
    <row r="2882">
      <c r="G2882" s="3"/>
    </row>
    <row r="2883">
      <c r="G2883" s="3"/>
    </row>
    <row r="2884">
      <c r="G2884" s="3"/>
    </row>
    <row r="2885">
      <c r="G2885" s="3"/>
    </row>
    <row r="2886">
      <c r="G2886" s="3"/>
    </row>
    <row r="2887">
      <c r="G2887" s="3"/>
    </row>
    <row r="2888">
      <c r="G2888" s="3"/>
    </row>
    <row r="2889">
      <c r="G2889" s="3"/>
    </row>
    <row r="2890">
      <c r="G2890" s="3"/>
    </row>
    <row r="2891">
      <c r="G2891" s="3"/>
    </row>
    <row r="2892">
      <c r="G2892" s="3"/>
    </row>
    <row r="2893">
      <c r="G2893" s="3"/>
    </row>
    <row r="2894">
      <c r="G2894" s="3"/>
    </row>
    <row r="2895">
      <c r="G2895" s="3"/>
    </row>
    <row r="2896">
      <c r="G2896" s="3"/>
    </row>
    <row r="2897">
      <c r="G2897" s="3"/>
    </row>
    <row r="2898">
      <c r="G2898" s="3"/>
    </row>
    <row r="2899">
      <c r="G2899" s="3"/>
    </row>
    <row r="2900">
      <c r="G2900" s="3"/>
    </row>
    <row r="2901">
      <c r="G2901" s="3"/>
    </row>
    <row r="2902">
      <c r="G2902" s="3"/>
    </row>
    <row r="2903">
      <c r="G2903" s="3"/>
    </row>
    <row r="2904">
      <c r="G2904" s="3"/>
    </row>
    <row r="2905">
      <c r="G2905" s="3"/>
    </row>
    <row r="2906">
      <c r="G2906" s="3"/>
    </row>
    <row r="2907">
      <c r="G2907" s="3"/>
    </row>
    <row r="2908">
      <c r="G2908" s="3"/>
    </row>
    <row r="2909">
      <c r="G2909" s="3"/>
    </row>
    <row r="2910">
      <c r="G2910" s="3"/>
    </row>
    <row r="2911">
      <c r="G2911" s="3"/>
    </row>
    <row r="2912">
      <c r="G2912" s="3"/>
    </row>
    <row r="2913">
      <c r="G2913" s="3"/>
    </row>
    <row r="2914">
      <c r="G2914" s="3"/>
    </row>
    <row r="2915">
      <c r="G2915" s="3"/>
    </row>
    <row r="2916">
      <c r="G2916" s="3"/>
    </row>
    <row r="2917">
      <c r="G2917" s="3"/>
    </row>
    <row r="2918">
      <c r="G2918" s="3"/>
    </row>
    <row r="2919">
      <c r="G2919" s="3"/>
    </row>
    <row r="2920">
      <c r="G2920" s="3"/>
    </row>
    <row r="2921">
      <c r="G2921" s="3"/>
    </row>
    <row r="2922">
      <c r="G2922" s="3"/>
    </row>
    <row r="2923">
      <c r="G2923" s="3"/>
    </row>
    <row r="2924">
      <c r="G2924" s="3"/>
    </row>
    <row r="2925">
      <c r="G2925" s="3"/>
    </row>
    <row r="2926">
      <c r="G2926" s="3"/>
    </row>
    <row r="2927">
      <c r="G2927" s="3"/>
    </row>
    <row r="2928">
      <c r="G2928" s="3"/>
    </row>
    <row r="2929">
      <c r="G2929" s="3"/>
    </row>
    <row r="2930">
      <c r="G2930" s="3"/>
    </row>
    <row r="2931">
      <c r="G2931" s="3"/>
    </row>
    <row r="2932">
      <c r="G2932" s="3"/>
    </row>
    <row r="2933">
      <c r="G2933" s="3"/>
    </row>
    <row r="2934">
      <c r="G2934" s="3"/>
    </row>
    <row r="2935">
      <c r="G2935" s="3"/>
    </row>
    <row r="2936">
      <c r="G2936" s="3"/>
    </row>
    <row r="2937">
      <c r="G2937" s="3"/>
    </row>
    <row r="2938">
      <c r="G2938" s="3"/>
    </row>
    <row r="2939">
      <c r="G2939" s="3"/>
    </row>
    <row r="2940">
      <c r="G2940" s="3"/>
    </row>
    <row r="2941">
      <c r="G2941" s="3"/>
    </row>
    <row r="2942">
      <c r="G2942" s="3"/>
    </row>
    <row r="2943">
      <c r="G2943" s="3"/>
    </row>
    <row r="2944">
      <c r="G2944" s="3"/>
    </row>
    <row r="2945">
      <c r="G2945" s="3"/>
    </row>
    <row r="2946">
      <c r="G2946" s="3"/>
    </row>
    <row r="2947">
      <c r="G2947" s="3"/>
    </row>
    <row r="2948">
      <c r="G2948" s="3"/>
    </row>
    <row r="2949">
      <c r="G2949" s="3"/>
    </row>
    <row r="2950">
      <c r="G2950" s="3"/>
    </row>
    <row r="2951">
      <c r="G2951" s="3"/>
    </row>
    <row r="2952">
      <c r="G2952" s="3"/>
    </row>
    <row r="2953">
      <c r="G2953" s="3"/>
    </row>
    <row r="2954">
      <c r="G2954" s="3"/>
    </row>
    <row r="2955">
      <c r="G2955" s="3"/>
    </row>
    <row r="2956">
      <c r="G2956" s="3"/>
    </row>
    <row r="2957">
      <c r="G2957" s="3"/>
    </row>
    <row r="2958">
      <c r="G2958" s="3"/>
    </row>
    <row r="2959">
      <c r="G2959" s="3"/>
    </row>
    <row r="2960">
      <c r="G2960" s="3"/>
    </row>
    <row r="2961">
      <c r="G2961" s="3"/>
    </row>
    <row r="2962">
      <c r="G2962" s="3"/>
    </row>
    <row r="2963">
      <c r="G2963" s="3"/>
    </row>
    <row r="2964">
      <c r="G2964" s="3"/>
    </row>
    <row r="2965">
      <c r="G2965" s="3"/>
    </row>
    <row r="2966">
      <c r="G2966" s="3"/>
    </row>
    <row r="2967">
      <c r="G2967" s="3"/>
    </row>
    <row r="2968">
      <c r="G2968" s="3"/>
    </row>
    <row r="2969">
      <c r="G2969" s="3"/>
    </row>
    <row r="2970">
      <c r="G2970" s="3"/>
    </row>
    <row r="2971">
      <c r="G2971" s="3"/>
    </row>
    <row r="2972">
      <c r="G2972" s="3"/>
    </row>
    <row r="2973">
      <c r="G2973" s="3"/>
    </row>
    <row r="2974">
      <c r="G2974" s="3"/>
    </row>
    <row r="2975">
      <c r="G2975" s="3"/>
    </row>
    <row r="2976">
      <c r="G2976" s="3"/>
    </row>
    <row r="2977">
      <c r="G2977" s="3"/>
    </row>
    <row r="2978">
      <c r="G2978" s="3"/>
    </row>
    <row r="2979">
      <c r="G2979" s="3"/>
    </row>
    <row r="2980">
      <c r="G2980" s="3"/>
    </row>
    <row r="2981">
      <c r="G2981" s="3"/>
    </row>
    <row r="2982">
      <c r="G2982" s="3"/>
    </row>
    <row r="2983">
      <c r="G2983" s="3"/>
    </row>
    <row r="2984">
      <c r="G2984" s="3"/>
    </row>
    <row r="2985">
      <c r="G2985" s="3"/>
    </row>
    <row r="2986">
      <c r="G2986" s="3"/>
    </row>
    <row r="2987">
      <c r="G2987" s="3"/>
    </row>
    <row r="2988">
      <c r="G2988" s="3"/>
    </row>
    <row r="2989">
      <c r="G2989" s="3"/>
    </row>
    <row r="2990">
      <c r="G2990" s="3"/>
    </row>
    <row r="2991">
      <c r="G2991" s="3"/>
    </row>
    <row r="2992">
      <c r="G2992" s="3"/>
    </row>
    <row r="2993">
      <c r="G2993" s="3"/>
    </row>
    <row r="2994">
      <c r="G2994" s="3"/>
    </row>
    <row r="2995">
      <c r="G2995" s="3"/>
    </row>
    <row r="2996">
      <c r="G2996" s="3"/>
    </row>
    <row r="2997">
      <c r="G2997" s="3"/>
    </row>
    <row r="2998">
      <c r="G2998" s="3"/>
    </row>
    <row r="2999">
      <c r="G2999" s="3"/>
    </row>
    <row r="3000">
      <c r="G3000" s="3"/>
    </row>
    <row r="3001">
      <c r="G3001" s="3"/>
    </row>
    <row r="3002">
      <c r="G3002" s="3"/>
    </row>
    <row r="3003">
      <c r="G3003" s="3"/>
    </row>
    <row r="3004">
      <c r="G3004" s="3"/>
    </row>
    <row r="3005">
      <c r="G3005" s="3"/>
    </row>
    <row r="3006">
      <c r="G3006" s="3"/>
    </row>
    <row r="3007">
      <c r="G3007" s="3"/>
    </row>
    <row r="3008">
      <c r="G3008" s="3"/>
    </row>
    <row r="3009">
      <c r="G3009" s="3"/>
    </row>
    <row r="3010">
      <c r="G3010" s="3"/>
    </row>
    <row r="3011">
      <c r="G3011" s="3"/>
    </row>
    <row r="3012">
      <c r="G3012" s="3"/>
    </row>
    <row r="3013">
      <c r="G3013" s="3"/>
    </row>
    <row r="3014">
      <c r="G3014" s="3"/>
    </row>
    <row r="3015">
      <c r="G3015" s="3"/>
    </row>
    <row r="3016">
      <c r="G3016" s="3"/>
    </row>
    <row r="3017">
      <c r="G3017" s="3"/>
    </row>
    <row r="3018">
      <c r="G3018" s="3"/>
    </row>
    <row r="3019">
      <c r="G3019" s="3"/>
    </row>
    <row r="3020">
      <c r="G3020" s="3"/>
    </row>
    <row r="3021">
      <c r="G3021" s="3"/>
    </row>
    <row r="3022">
      <c r="G3022" s="3"/>
    </row>
    <row r="3023">
      <c r="G3023" s="3"/>
    </row>
    <row r="3024">
      <c r="G3024" s="3"/>
    </row>
    <row r="3025">
      <c r="G3025" s="3"/>
    </row>
    <row r="3026">
      <c r="G3026" s="3"/>
    </row>
    <row r="3027">
      <c r="G3027" s="3"/>
    </row>
    <row r="3028">
      <c r="G3028" s="3"/>
    </row>
    <row r="3029">
      <c r="G3029" s="3"/>
    </row>
    <row r="3030">
      <c r="G3030" s="3"/>
    </row>
    <row r="3031">
      <c r="G3031" s="3"/>
    </row>
    <row r="3032">
      <c r="G3032" s="3"/>
    </row>
    <row r="3033">
      <c r="G3033" s="3"/>
    </row>
    <row r="3034">
      <c r="G3034" s="3"/>
    </row>
    <row r="3035">
      <c r="G3035" s="3"/>
    </row>
    <row r="3036">
      <c r="G3036" s="3"/>
    </row>
    <row r="3037">
      <c r="G3037" s="3"/>
    </row>
    <row r="3038">
      <c r="G3038" s="3"/>
    </row>
    <row r="3039">
      <c r="G3039" s="3"/>
    </row>
    <row r="3040">
      <c r="G3040" s="3"/>
    </row>
    <row r="3041">
      <c r="G3041" s="3"/>
    </row>
    <row r="3042">
      <c r="G3042" s="3"/>
    </row>
    <row r="3043">
      <c r="G3043" s="3"/>
    </row>
    <row r="3044">
      <c r="G3044" s="3"/>
    </row>
    <row r="3045">
      <c r="G3045" s="3"/>
    </row>
    <row r="3046">
      <c r="G3046" s="3"/>
    </row>
    <row r="3047">
      <c r="G3047" s="3"/>
    </row>
    <row r="3048">
      <c r="G3048" s="3"/>
    </row>
    <row r="3049">
      <c r="G3049" s="3"/>
    </row>
    <row r="3050">
      <c r="G3050" s="3"/>
    </row>
    <row r="3051">
      <c r="G3051" s="3"/>
    </row>
    <row r="3052">
      <c r="G3052" s="3"/>
    </row>
    <row r="3053">
      <c r="G3053" s="3"/>
    </row>
    <row r="3054">
      <c r="G3054" s="3"/>
    </row>
    <row r="3055">
      <c r="G3055" s="3"/>
    </row>
    <row r="3056">
      <c r="G3056" s="3"/>
    </row>
    <row r="3057">
      <c r="G3057" s="3"/>
    </row>
    <row r="3058">
      <c r="G3058" s="3"/>
    </row>
    <row r="3059">
      <c r="G3059" s="3"/>
    </row>
    <row r="3060">
      <c r="G3060" s="3"/>
    </row>
    <row r="3061">
      <c r="G3061" s="3"/>
    </row>
    <row r="3062">
      <c r="G3062" s="3"/>
    </row>
    <row r="3063">
      <c r="G3063" s="3"/>
    </row>
    <row r="3064">
      <c r="G3064" s="3"/>
    </row>
    <row r="3065">
      <c r="G3065" s="3"/>
    </row>
    <row r="3066">
      <c r="G3066" s="3"/>
    </row>
    <row r="3067">
      <c r="G3067" s="3"/>
    </row>
    <row r="3068">
      <c r="G3068" s="3"/>
    </row>
    <row r="3069">
      <c r="G3069" s="3"/>
    </row>
    <row r="3070">
      <c r="G3070" s="3"/>
    </row>
    <row r="3071">
      <c r="G3071" s="3"/>
    </row>
    <row r="3072">
      <c r="G3072" s="3"/>
    </row>
    <row r="3073">
      <c r="G3073" s="3"/>
    </row>
    <row r="3074">
      <c r="G3074" s="3"/>
    </row>
    <row r="3075">
      <c r="G3075" s="3"/>
    </row>
    <row r="3076">
      <c r="G3076" s="3"/>
    </row>
    <row r="3077">
      <c r="G3077" s="3"/>
    </row>
    <row r="3078">
      <c r="G3078" s="3"/>
    </row>
    <row r="3079">
      <c r="G3079" s="3"/>
    </row>
    <row r="3080">
      <c r="G3080" s="3"/>
    </row>
    <row r="3081">
      <c r="G3081" s="3"/>
    </row>
    <row r="3082">
      <c r="G3082" s="3"/>
    </row>
    <row r="3083">
      <c r="G3083" s="3"/>
    </row>
    <row r="3084">
      <c r="G3084" s="3"/>
    </row>
    <row r="3085">
      <c r="G3085" s="3"/>
    </row>
    <row r="3086">
      <c r="G3086" s="3"/>
    </row>
    <row r="3087">
      <c r="G3087" s="3"/>
    </row>
    <row r="3088">
      <c r="G3088" s="3"/>
    </row>
    <row r="3089">
      <c r="G3089" s="3"/>
    </row>
    <row r="3090">
      <c r="G3090" s="3"/>
    </row>
    <row r="3091">
      <c r="G3091" s="3"/>
    </row>
    <row r="3092">
      <c r="G3092" s="3"/>
    </row>
    <row r="3093">
      <c r="G3093" s="3"/>
    </row>
    <row r="3094">
      <c r="G3094" s="3"/>
    </row>
    <row r="3095">
      <c r="G3095" s="3"/>
    </row>
    <row r="3096">
      <c r="G3096" s="3"/>
    </row>
    <row r="3097">
      <c r="G3097" s="3"/>
    </row>
    <row r="3098">
      <c r="G3098" s="3"/>
    </row>
    <row r="3099">
      <c r="G3099" s="3"/>
    </row>
    <row r="3100">
      <c r="G3100" s="3"/>
    </row>
    <row r="3101">
      <c r="G3101" s="3"/>
    </row>
    <row r="3102">
      <c r="G3102" s="3"/>
    </row>
    <row r="3103">
      <c r="G3103" s="3"/>
    </row>
    <row r="3104">
      <c r="G3104" s="3"/>
    </row>
    <row r="3105">
      <c r="G3105" s="3"/>
    </row>
    <row r="3106">
      <c r="G3106" s="3"/>
    </row>
    <row r="3107">
      <c r="G3107" s="3"/>
    </row>
    <row r="3108">
      <c r="G3108" s="3"/>
    </row>
    <row r="3109">
      <c r="G3109" s="3"/>
    </row>
    <row r="3110">
      <c r="G3110" s="3"/>
    </row>
    <row r="3111">
      <c r="G3111" s="3"/>
    </row>
    <row r="3112">
      <c r="G3112" s="3"/>
    </row>
    <row r="3113">
      <c r="G3113" s="3"/>
    </row>
    <row r="3114">
      <c r="G3114" s="3"/>
    </row>
    <row r="3115">
      <c r="G3115" s="3"/>
    </row>
    <row r="3116">
      <c r="G3116" s="3"/>
    </row>
    <row r="3117">
      <c r="G3117" s="3"/>
    </row>
    <row r="3118">
      <c r="G3118" s="3"/>
    </row>
    <row r="3119">
      <c r="G3119" s="3"/>
    </row>
    <row r="3120">
      <c r="G3120" s="3"/>
    </row>
    <row r="3121">
      <c r="G3121" s="3"/>
    </row>
    <row r="3122">
      <c r="G3122" s="3"/>
    </row>
    <row r="3123">
      <c r="G3123" s="3"/>
    </row>
    <row r="3124">
      <c r="G3124" s="3"/>
    </row>
    <row r="3125">
      <c r="G3125" s="3"/>
    </row>
    <row r="3126">
      <c r="G3126" s="3"/>
    </row>
    <row r="3127">
      <c r="G3127" s="3"/>
    </row>
    <row r="3128">
      <c r="G3128" s="3"/>
    </row>
    <row r="3129">
      <c r="G3129" s="3"/>
    </row>
    <row r="3130">
      <c r="G3130" s="3"/>
    </row>
    <row r="3131">
      <c r="G3131" s="3"/>
    </row>
    <row r="3132">
      <c r="G3132" s="3"/>
    </row>
    <row r="3133">
      <c r="G3133" s="3"/>
    </row>
    <row r="3134">
      <c r="G3134" s="3"/>
    </row>
    <row r="3135">
      <c r="G3135" s="3"/>
    </row>
    <row r="3136">
      <c r="G3136" s="3"/>
    </row>
    <row r="3137">
      <c r="G3137" s="3"/>
    </row>
    <row r="3138">
      <c r="G3138" s="3"/>
    </row>
    <row r="3139">
      <c r="G3139" s="3"/>
    </row>
    <row r="3140">
      <c r="G3140" s="3"/>
    </row>
    <row r="3141">
      <c r="G3141" s="3"/>
    </row>
    <row r="3142">
      <c r="G3142" s="3"/>
    </row>
    <row r="3143">
      <c r="G3143" s="3"/>
    </row>
    <row r="3144">
      <c r="G3144" s="3"/>
    </row>
    <row r="3145">
      <c r="G3145" s="3"/>
    </row>
    <row r="3146">
      <c r="G3146" s="3"/>
    </row>
    <row r="3147">
      <c r="G3147" s="3"/>
    </row>
    <row r="3148">
      <c r="G3148" s="3"/>
    </row>
    <row r="3149">
      <c r="G3149" s="3"/>
    </row>
    <row r="3150">
      <c r="G3150" s="3"/>
    </row>
    <row r="3151">
      <c r="G3151" s="3"/>
    </row>
    <row r="3152">
      <c r="G3152" s="3"/>
    </row>
    <row r="3153">
      <c r="G3153" s="3"/>
    </row>
    <row r="3154">
      <c r="G3154" s="3"/>
    </row>
    <row r="3155">
      <c r="G3155" s="3"/>
    </row>
    <row r="3156">
      <c r="G3156" s="3"/>
    </row>
    <row r="3157">
      <c r="G3157" s="3"/>
    </row>
    <row r="3158">
      <c r="G3158" s="3"/>
    </row>
    <row r="3159">
      <c r="G3159" s="3"/>
    </row>
    <row r="3160">
      <c r="G3160" s="3"/>
    </row>
    <row r="3161">
      <c r="G3161" s="3"/>
    </row>
    <row r="3162">
      <c r="G3162" s="3"/>
    </row>
    <row r="3163">
      <c r="G3163" s="3"/>
    </row>
    <row r="3164">
      <c r="G3164" s="3"/>
    </row>
    <row r="3165">
      <c r="G3165" s="3"/>
    </row>
    <row r="3166">
      <c r="G3166" s="3"/>
    </row>
    <row r="3167">
      <c r="G3167" s="3"/>
    </row>
    <row r="3168">
      <c r="G3168" s="3"/>
    </row>
    <row r="3169">
      <c r="G3169" s="3"/>
    </row>
    <row r="3170">
      <c r="G3170" s="3"/>
    </row>
    <row r="3171">
      <c r="G3171" s="3"/>
    </row>
    <row r="3172">
      <c r="G3172" s="3"/>
    </row>
    <row r="3173">
      <c r="G3173" s="3"/>
    </row>
    <row r="3174">
      <c r="G3174" s="3"/>
    </row>
    <row r="3175">
      <c r="G3175" s="3"/>
    </row>
    <row r="3176">
      <c r="G3176" s="3"/>
    </row>
    <row r="3177">
      <c r="G3177" s="3"/>
    </row>
    <row r="3178">
      <c r="G3178" s="3"/>
    </row>
    <row r="3179">
      <c r="G3179" s="3"/>
    </row>
    <row r="3180">
      <c r="G3180" s="3"/>
    </row>
    <row r="3181">
      <c r="G3181" s="3"/>
    </row>
    <row r="3182">
      <c r="G3182" s="3"/>
    </row>
    <row r="3183">
      <c r="G3183" s="3"/>
    </row>
    <row r="3184">
      <c r="G3184" s="3"/>
    </row>
    <row r="3185">
      <c r="G3185" s="3"/>
    </row>
    <row r="3186">
      <c r="G3186" s="3"/>
    </row>
    <row r="3187">
      <c r="G3187" s="3"/>
    </row>
    <row r="3188">
      <c r="G3188" s="3"/>
    </row>
    <row r="3189">
      <c r="G3189" s="3"/>
    </row>
    <row r="3190">
      <c r="G3190" s="3"/>
    </row>
    <row r="3191">
      <c r="G3191" s="3"/>
    </row>
    <row r="3192">
      <c r="G3192" s="3"/>
    </row>
    <row r="3193">
      <c r="G3193" s="3"/>
    </row>
    <row r="3194">
      <c r="G3194" s="3"/>
    </row>
    <row r="3195">
      <c r="G3195" s="3"/>
    </row>
    <row r="3196">
      <c r="G3196" s="3"/>
    </row>
    <row r="3197">
      <c r="G3197" s="3"/>
    </row>
    <row r="3198">
      <c r="G3198" s="3"/>
    </row>
    <row r="3199">
      <c r="G3199" s="3"/>
    </row>
    <row r="3200">
      <c r="G3200" s="3"/>
    </row>
    <row r="3201">
      <c r="G3201" s="3"/>
    </row>
    <row r="3202">
      <c r="G3202" s="3"/>
    </row>
    <row r="3203">
      <c r="G3203" s="3"/>
    </row>
    <row r="3204">
      <c r="G3204" s="3"/>
    </row>
    <row r="3205">
      <c r="G3205" s="3"/>
    </row>
    <row r="3206">
      <c r="G3206" s="3"/>
    </row>
    <row r="3207">
      <c r="G3207" s="3"/>
    </row>
    <row r="3208">
      <c r="G3208" s="3"/>
    </row>
    <row r="3209">
      <c r="G3209" s="3"/>
    </row>
    <row r="3210">
      <c r="G3210" s="3"/>
    </row>
    <row r="3211">
      <c r="G3211" s="3"/>
    </row>
    <row r="3212">
      <c r="G3212" s="3"/>
    </row>
    <row r="3213">
      <c r="G3213" s="3"/>
    </row>
    <row r="3214">
      <c r="G3214" s="3"/>
    </row>
    <row r="3215">
      <c r="G3215" s="3"/>
    </row>
    <row r="3216">
      <c r="G3216" s="3"/>
    </row>
    <row r="3217">
      <c r="G3217" s="3"/>
    </row>
    <row r="3218">
      <c r="G3218" s="3"/>
    </row>
    <row r="3219">
      <c r="G3219" s="3"/>
    </row>
    <row r="3220">
      <c r="G3220" s="3"/>
    </row>
    <row r="3221">
      <c r="G3221" s="3"/>
    </row>
    <row r="3222">
      <c r="G3222" s="3"/>
    </row>
    <row r="3223">
      <c r="G3223" s="3"/>
    </row>
    <row r="3224">
      <c r="G3224" s="3"/>
    </row>
    <row r="3225">
      <c r="G3225" s="3"/>
    </row>
    <row r="3226">
      <c r="G3226" s="3"/>
    </row>
    <row r="3227">
      <c r="G3227" s="3"/>
    </row>
    <row r="3228">
      <c r="G3228" s="3"/>
    </row>
    <row r="3229">
      <c r="G3229" s="3"/>
    </row>
    <row r="3230">
      <c r="G3230" s="3"/>
    </row>
    <row r="3231">
      <c r="G3231" s="3"/>
    </row>
    <row r="3232">
      <c r="G3232" s="3"/>
    </row>
    <row r="3233">
      <c r="G3233" s="3"/>
    </row>
    <row r="3234">
      <c r="G3234" s="3"/>
    </row>
    <row r="3235">
      <c r="G3235" s="3"/>
    </row>
    <row r="3236">
      <c r="G3236" s="3"/>
    </row>
    <row r="3237">
      <c r="G3237" s="3"/>
    </row>
    <row r="3238">
      <c r="G3238" s="3"/>
    </row>
    <row r="3239">
      <c r="G3239" s="3"/>
    </row>
    <row r="3240">
      <c r="G3240" s="3"/>
    </row>
    <row r="3241">
      <c r="G3241" s="3"/>
    </row>
    <row r="3242">
      <c r="G3242" s="3"/>
    </row>
    <row r="3243">
      <c r="G3243" s="3"/>
    </row>
    <row r="3244">
      <c r="G3244" s="3"/>
    </row>
    <row r="3245">
      <c r="G3245" s="3"/>
    </row>
    <row r="3246">
      <c r="G3246" s="3"/>
    </row>
    <row r="3247">
      <c r="G3247" s="3"/>
    </row>
    <row r="3248">
      <c r="G3248" s="3"/>
    </row>
    <row r="3249">
      <c r="G3249" s="3"/>
    </row>
    <row r="3250">
      <c r="G3250" s="3"/>
    </row>
    <row r="3251">
      <c r="G3251" s="3"/>
    </row>
    <row r="3252">
      <c r="G3252" s="3"/>
    </row>
    <row r="3253">
      <c r="G3253" s="3"/>
    </row>
    <row r="3254">
      <c r="G3254" s="3"/>
    </row>
    <row r="3255">
      <c r="G3255" s="3"/>
    </row>
    <row r="3256">
      <c r="G3256" s="3"/>
    </row>
    <row r="3257">
      <c r="G3257" s="3"/>
    </row>
    <row r="3258">
      <c r="G3258" s="3"/>
    </row>
    <row r="3259">
      <c r="G3259" s="3"/>
    </row>
    <row r="3260">
      <c r="G3260" s="3"/>
    </row>
    <row r="3261">
      <c r="G3261" s="3"/>
    </row>
    <row r="3262">
      <c r="G3262" s="3"/>
    </row>
    <row r="3263">
      <c r="G3263" s="3"/>
    </row>
    <row r="3264">
      <c r="G3264" s="3"/>
    </row>
    <row r="3265">
      <c r="G3265" s="3"/>
    </row>
    <row r="3266">
      <c r="G3266" s="3"/>
    </row>
    <row r="3267">
      <c r="G3267" s="3"/>
    </row>
    <row r="3268">
      <c r="G3268" s="3"/>
    </row>
    <row r="3269">
      <c r="G3269" s="3"/>
    </row>
    <row r="3270">
      <c r="G3270" s="3"/>
    </row>
    <row r="3271">
      <c r="G3271" s="3"/>
    </row>
    <row r="3272">
      <c r="G3272" s="3"/>
    </row>
    <row r="3273">
      <c r="G3273" s="3"/>
    </row>
    <row r="3274">
      <c r="G3274" s="3"/>
    </row>
    <row r="3275">
      <c r="G3275" s="3"/>
    </row>
    <row r="3276">
      <c r="G3276" s="3"/>
    </row>
    <row r="3277">
      <c r="G3277" s="3"/>
    </row>
    <row r="3278">
      <c r="G3278" s="3"/>
    </row>
    <row r="3279">
      <c r="G3279" s="3"/>
    </row>
    <row r="3280">
      <c r="G3280" s="3"/>
    </row>
    <row r="3281">
      <c r="G3281" s="3"/>
    </row>
    <row r="3282">
      <c r="G3282" s="3"/>
    </row>
    <row r="3283">
      <c r="G3283" s="3"/>
    </row>
    <row r="3284">
      <c r="G3284" s="3"/>
    </row>
    <row r="3285">
      <c r="G3285" s="3"/>
    </row>
    <row r="3286">
      <c r="G3286" s="3"/>
    </row>
    <row r="3287">
      <c r="G3287" s="3"/>
    </row>
    <row r="3288">
      <c r="G3288" s="3"/>
    </row>
    <row r="3289">
      <c r="G3289" s="3"/>
    </row>
    <row r="3290">
      <c r="G3290" s="3"/>
    </row>
    <row r="3291">
      <c r="G3291" s="3"/>
    </row>
    <row r="3292">
      <c r="G3292" s="3"/>
    </row>
    <row r="3293">
      <c r="G3293" s="3"/>
    </row>
    <row r="3294">
      <c r="G3294" s="3"/>
    </row>
    <row r="3295">
      <c r="G3295" s="3"/>
    </row>
    <row r="3296">
      <c r="G3296" s="3"/>
    </row>
    <row r="3297">
      <c r="G3297" s="3"/>
    </row>
    <row r="3298">
      <c r="G3298" s="3"/>
    </row>
    <row r="3299">
      <c r="G3299" s="3"/>
    </row>
    <row r="3300">
      <c r="G3300" s="3"/>
    </row>
    <row r="3301">
      <c r="G3301" s="3"/>
    </row>
    <row r="3302">
      <c r="G3302" s="3"/>
    </row>
    <row r="3303">
      <c r="G3303" s="3"/>
    </row>
    <row r="3304">
      <c r="G3304" s="3"/>
    </row>
    <row r="3305">
      <c r="G3305" s="3"/>
    </row>
    <row r="3306">
      <c r="G3306" s="3"/>
    </row>
    <row r="3307">
      <c r="G3307" s="3"/>
    </row>
    <row r="3308">
      <c r="G3308" s="3"/>
    </row>
    <row r="3309">
      <c r="G3309" s="3"/>
    </row>
    <row r="3310">
      <c r="G3310" s="3"/>
    </row>
    <row r="3311">
      <c r="G3311" s="3"/>
    </row>
    <row r="3312">
      <c r="G3312" s="3"/>
    </row>
    <row r="3313">
      <c r="G3313" s="3"/>
    </row>
    <row r="3314">
      <c r="G3314" s="3"/>
    </row>
    <row r="3315">
      <c r="G3315" s="3"/>
    </row>
    <row r="3316">
      <c r="G3316" s="3"/>
    </row>
    <row r="3317">
      <c r="G3317" s="3"/>
    </row>
    <row r="3318">
      <c r="G3318" s="3"/>
    </row>
    <row r="3319">
      <c r="G3319" s="3"/>
    </row>
    <row r="3320">
      <c r="G3320" s="3"/>
    </row>
    <row r="3321">
      <c r="G3321" s="3"/>
    </row>
    <row r="3322">
      <c r="G3322" s="3"/>
    </row>
    <row r="3323">
      <c r="G3323" s="3"/>
    </row>
    <row r="3324">
      <c r="G3324" s="3"/>
    </row>
    <row r="3325">
      <c r="G3325" s="3"/>
    </row>
    <row r="3326">
      <c r="G3326" s="3"/>
    </row>
    <row r="3327">
      <c r="G3327" s="3"/>
    </row>
    <row r="3328">
      <c r="G3328" s="3"/>
    </row>
    <row r="3329">
      <c r="G3329" s="3"/>
    </row>
    <row r="3330">
      <c r="G3330" s="3"/>
    </row>
    <row r="3331">
      <c r="G3331" s="3"/>
    </row>
    <row r="3332">
      <c r="G3332" s="3"/>
    </row>
    <row r="3333">
      <c r="G3333" s="3"/>
    </row>
    <row r="3334">
      <c r="G3334" s="3"/>
    </row>
    <row r="3335">
      <c r="G3335" s="3"/>
    </row>
    <row r="3336">
      <c r="G3336" s="3"/>
    </row>
    <row r="3337">
      <c r="G3337" s="3"/>
    </row>
    <row r="3338">
      <c r="G3338" s="3"/>
    </row>
    <row r="3339">
      <c r="G3339" s="3"/>
    </row>
    <row r="3340">
      <c r="G3340" s="3"/>
    </row>
    <row r="3341">
      <c r="G3341" s="3"/>
    </row>
    <row r="3342">
      <c r="G3342" s="3"/>
    </row>
    <row r="3343">
      <c r="G3343" s="3"/>
    </row>
    <row r="3344">
      <c r="G3344" s="3"/>
    </row>
    <row r="3345">
      <c r="G3345" s="3"/>
    </row>
    <row r="3346">
      <c r="G3346" s="3"/>
    </row>
    <row r="3347">
      <c r="G3347" s="3"/>
    </row>
    <row r="3348">
      <c r="G3348" s="3"/>
    </row>
    <row r="3349">
      <c r="G3349" s="3"/>
    </row>
    <row r="3350">
      <c r="G3350" s="3"/>
    </row>
    <row r="3351">
      <c r="G3351" s="3"/>
    </row>
    <row r="3352">
      <c r="G3352" s="3"/>
    </row>
    <row r="3353">
      <c r="G3353" s="3"/>
    </row>
    <row r="3354">
      <c r="G3354" s="3"/>
    </row>
    <row r="3355">
      <c r="G3355" s="3"/>
    </row>
    <row r="3356">
      <c r="G3356" s="3"/>
    </row>
    <row r="3357">
      <c r="G3357" s="3"/>
    </row>
    <row r="3358">
      <c r="G3358" s="3"/>
    </row>
    <row r="3359">
      <c r="G3359" s="3"/>
    </row>
    <row r="3360">
      <c r="G3360" s="3"/>
    </row>
    <row r="3361">
      <c r="G3361" s="3"/>
    </row>
    <row r="3362">
      <c r="G3362" s="3"/>
    </row>
    <row r="3363">
      <c r="G3363" s="3"/>
    </row>
    <row r="3364">
      <c r="G3364" s="3"/>
    </row>
    <row r="3365">
      <c r="G3365" s="3"/>
    </row>
    <row r="3366">
      <c r="G3366" s="3"/>
    </row>
    <row r="3367">
      <c r="G3367" s="3"/>
    </row>
    <row r="3368">
      <c r="G3368" s="3"/>
    </row>
    <row r="3369">
      <c r="G3369" s="3"/>
    </row>
    <row r="3370">
      <c r="G3370" s="3"/>
    </row>
    <row r="3371">
      <c r="G3371" s="3"/>
    </row>
    <row r="3372">
      <c r="G3372" s="3"/>
    </row>
    <row r="3373">
      <c r="G3373" s="3"/>
    </row>
    <row r="3374">
      <c r="G3374" s="3"/>
    </row>
    <row r="3375">
      <c r="G3375" s="3"/>
    </row>
    <row r="3376">
      <c r="G3376" s="3"/>
    </row>
    <row r="3377">
      <c r="G3377" s="3"/>
    </row>
    <row r="3378">
      <c r="G3378" s="3"/>
    </row>
    <row r="3379">
      <c r="G3379" s="3"/>
    </row>
    <row r="3380">
      <c r="G3380" s="3"/>
    </row>
    <row r="3381">
      <c r="G3381" s="3"/>
    </row>
    <row r="3382">
      <c r="G3382" s="3"/>
    </row>
    <row r="3383">
      <c r="G3383" s="3"/>
    </row>
    <row r="3384">
      <c r="G3384" s="3"/>
    </row>
    <row r="3385">
      <c r="G3385" s="3"/>
    </row>
    <row r="3386">
      <c r="G3386" s="3"/>
    </row>
    <row r="3387">
      <c r="G3387" s="3"/>
    </row>
    <row r="3388">
      <c r="G3388" s="3"/>
    </row>
    <row r="3389">
      <c r="G3389" s="3"/>
    </row>
    <row r="3390">
      <c r="G3390" s="3"/>
    </row>
    <row r="3391">
      <c r="G3391" s="3"/>
    </row>
    <row r="3392">
      <c r="G3392" s="3"/>
    </row>
    <row r="3393">
      <c r="G3393" s="3"/>
    </row>
    <row r="3394">
      <c r="G3394" s="3"/>
    </row>
    <row r="3395">
      <c r="G3395" s="3"/>
    </row>
    <row r="3396">
      <c r="G3396" s="3"/>
    </row>
    <row r="3397">
      <c r="G3397" s="3"/>
    </row>
    <row r="3398">
      <c r="G3398" s="3"/>
    </row>
    <row r="3399">
      <c r="G3399" s="3"/>
    </row>
    <row r="3400">
      <c r="G3400" s="3"/>
    </row>
    <row r="3401">
      <c r="G3401" s="3"/>
    </row>
    <row r="3402">
      <c r="G3402" s="3"/>
    </row>
    <row r="3403">
      <c r="G3403" s="3"/>
    </row>
    <row r="3404">
      <c r="G3404" s="3"/>
    </row>
    <row r="3405">
      <c r="G3405" s="3"/>
    </row>
    <row r="3406">
      <c r="G3406" s="3"/>
    </row>
    <row r="3407">
      <c r="G3407" s="3"/>
    </row>
    <row r="3408">
      <c r="G3408" s="3"/>
    </row>
    <row r="3409">
      <c r="G3409" s="3"/>
    </row>
    <row r="3410">
      <c r="G3410" s="3"/>
    </row>
    <row r="3411">
      <c r="G3411" s="3"/>
    </row>
    <row r="3412">
      <c r="G3412" s="3"/>
    </row>
    <row r="3413">
      <c r="G3413" s="3"/>
    </row>
    <row r="3414">
      <c r="G3414" s="3"/>
    </row>
    <row r="3415">
      <c r="G3415" s="3"/>
    </row>
    <row r="3416">
      <c r="G3416" s="3"/>
    </row>
    <row r="3417">
      <c r="G3417" s="3"/>
    </row>
    <row r="3418">
      <c r="G3418" s="3"/>
    </row>
    <row r="3419">
      <c r="G3419" s="3"/>
    </row>
    <row r="3420">
      <c r="G3420" s="3"/>
    </row>
    <row r="3421">
      <c r="G3421" s="3"/>
    </row>
    <row r="3422">
      <c r="G3422" s="3"/>
    </row>
    <row r="3423">
      <c r="G3423" s="3"/>
    </row>
    <row r="3424">
      <c r="G3424" s="3"/>
    </row>
    <row r="3425">
      <c r="G3425" s="3"/>
    </row>
    <row r="3426">
      <c r="G3426" s="3"/>
    </row>
    <row r="3427">
      <c r="G3427" s="3"/>
    </row>
    <row r="3428">
      <c r="G3428" s="3"/>
    </row>
    <row r="3429">
      <c r="G3429" s="3"/>
    </row>
    <row r="3430">
      <c r="G3430" s="3"/>
    </row>
    <row r="3431">
      <c r="G3431" s="3"/>
    </row>
    <row r="3432">
      <c r="G3432" s="3"/>
    </row>
    <row r="3433">
      <c r="G3433" s="3"/>
    </row>
    <row r="3434">
      <c r="G3434" s="3"/>
    </row>
    <row r="3435">
      <c r="G3435" s="3"/>
    </row>
    <row r="3436">
      <c r="G3436" s="3"/>
    </row>
    <row r="3437">
      <c r="G3437" s="3"/>
    </row>
    <row r="3438">
      <c r="G3438" s="3"/>
    </row>
    <row r="3439">
      <c r="G3439" s="3"/>
    </row>
    <row r="3440">
      <c r="G3440" s="3"/>
    </row>
    <row r="3441">
      <c r="G3441" s="3"/>
    </row>
    <row r="3442">
      <c r="G3442" s="3"/>
    </row>
    <row r="3443">
      <c r="G3443" s="3"/>
    </row>
    <row r="3444">
      <c r="G3444" s="3"/>
    </row>
    <row r="3445">
      <c r="G3445" s="3"/>
    </row>
    <row r="3446">
      <c r="G3446" s="3"/>
    </row>
    <row r="3447">
      <c r="G3447" s="3"/>
    </row>
    <row r="3448">
      <c r="G3448" s="3"/>
    </row>
    <row r="3449">
      <c r="G3449" s="3"/>
    </row>
    <row r="3450">
      <c r="G3450" s="3"/>
    </row>
    <row r="3451">
      <c r="G3451" s="3"/>
    </row>
    <row r="3452">
      <c r="G3452" s="3"/>
    </row>
    <row r="3453">
      <c r="G3453" s="3"/>
    </row>
    <row r="3454">
      <c r="G3454" s="3"/>
    </row>
    <row r="3455">
      <c r="G3455" s="3"/>
    </row>
    <row r="3456">
      <c r="G3456" s="3"/>
    </row>
    <row r="3457">
      <c r="G3457" s="3"/>
    </row>
    <row r="3458">
      <c r="G3458" s="3"/>
    </row>
    <row r="3459">
      <c r="G3459" s="3"/>
    </row>
    <row r="3460">
      <c r="G3460" s="3"/>
    </row>
    <row r="3461">
      <c r="G3461" s="3"/>
    </row>
    <row r="3462">
      <c r="G3462" s="3"/>
    </row>
    <row r="3463">
      <c r="G3463" s="3"/>
    </row>
    <row r="3464">
      <c r="G3464" s="3"/>
    </row>
    <row r="3465">
      <c r="G3465" s="3"/>
    </row>
    <row r="3466">
      <c r="G3466" s="3"/>
    </row>
    <row r="3467">
      <c r="G3467" s="3"/>
    </row>
    <row r="3468">
      <c r="G3468" s="3"/>
    </row>
    <row r="3469">
      <c r="G3469" s="3"/>
    </row>
    <row r="3470">
      <c r="G3470" s="3"/>
    </row>
    <row r="3471">
      <c r="G3471" s="3"/>
    </row>
    <row r="3472">
      <c r="G3472" s="3"/>
    </row>
    <row r="3473">
      <c r="G3473" s="3"/>
    </row>
    <row r="3474">
      <c r="G3474" s="3"/>
    </row>
    <row r="3475">
      <c r="G3475" s="3"/>
    </row>
    <row r="3476">
      <c r="G3476" s="3"/>
    </row>
    <row r="3477">
      <c r="G3477" s="3"/>
    </row>
    <row r="3478">
      <c r="G3478" s="3"/>
    </row>
    <row r="3479">
      <c r="G3479" s="3"/>
    </row>
    <row r="3480">
      <c r="G3480" s="3"/>
    </row>
    <row r="3481">
      <c r="G3481" s="3"/>
    </row>
    <row r="3482">
      <c r="G3482" s="3"/>
    </row>
    <row r="3483">
      <c r="G3483" s="3"/>
    </row>
    <row r="3484">
      <c r="G3484" s="3"/>
    </row>
    <row r="3485">
      <c r="G3485" s="3"/>
    </row>
    <row r="3486">
      <c r="G3486" s="3"/>
    </row>
    <row r="3487">
      <c r="G3487" s="3"/>
    </row>
    <row r="3488">
      <c r="G3488" s="3"/>
    </row>
    <row r="3489">
      <c r="G3489" s="3"/>
    </row>
    <row r="3490">
      <c r="G3490" s="3"/>
    </row>
    <row r="3491">
      <c r="G3491" s="3"/>
    </row>
    <row r="3492">
      <c r="G3492" s="3"/>
    </row>
    <row r="3493">
      <c r="G3493" s="3"/>
    </row>
    <row r="3494">
      <c r="G3494" s="3"/>
    </row>
    <row r="3495">
      <c r="G3495" s="3"/>
    </row>
    <row r="3496">
      <c r="G3496" s="3"/>
    </row>
    <row r="3497">
      <c r="G3497" s="3"/>
    </row>
    <row r="3498">
      <c r="G3498" s="3"/>
    </row>
    <row r="3499">
      <c r="G3499" s="3"/>
    </row>
    <row r="3500">
      <c r="G3500" s="3"/>
    </row>
    <row r="3501">
      <c r="G3501" s="3"/>
    </row>
    <row r="3502">
      <c r="G3502" s="3"/>
    </row>
    <row r="3503">
      <c r="G3503" s="3"/>
    </row>
    <row r="3504">
      <c r="G3504" s="3"/>
    </row>
    <row r="3505">
      <c r="G3505" s="3"/>
    </row>
    <row r="3506">
      <c r="G3506" s="3"/>
    </row>
    <row r="3507">
      <c r="G3507" s="3"/>
    </row>
    <row r="3508">
      <c r="G3508" s="3"/>
    </row>
    <row r="3509">
      <c r="G3509" s="3"/>
    </row>
    <row r="3510">
      <c r="G3510" s="3"/>
    </row>
    <row r="3511">
      <c r="G3511" s="3"/>
    </row>
    <row r="3512">
      <c r="G3512" s="3"/>
    </row>
    <row r="3513">
      <c r="G3513" s="3"/>
    </row>
    <row r="3514">
      <c r="G3514" s="3"/>
    </row>
    <row r="3515">
      <c r="G3515" s="3"/>
    </row>
    <row r="3516">
      <c r="G3516" s="3"/>
    </row>
    <row r="3517">
      <c r="G3517" s="3"/>
    </row>
    <row r="3518">
      <c r="G3518" s="3"/>
    </row>
    <row r="3519">
      <c r="G3519" s="3"/>
    </row>
    <row r="3520">
      <c r="G3520" s="3"/>
    </row>
    <row r="3521">
      <c r="G3521" s="3"/>
    </row>
    <row r="3522">
      <c r="G3522" s="3"/>
    </row>
    <row r="3523">
      <c r="G3523" s="3"/>
    </row>
    <row r="3524">
      <c r="G3524" s="3"/>
    </row>
    <row r="3525">
      <c r="G3525" s="3"/>
    </row>
    <row r="3526">
      <c r="G3526" s="3"/>
    </row>
    <row r="3527">
      <c r="G3527" s="3"/>
    </row>
    <row r="3528">
      <c r="G3528" s="3"/>
    </row>
    <row r="3529">
      <c r="G3529" s="3"/>
    </row>
    <row r="3530">
      <c r="G3530" s="3"/>
    </row>
    <row r="3531">
      <c r="G3531" s="3"/>
    </row>
    <row r="3532">
      <c r="G3532" s="3"/>
    </row>
    <row r="3533">
      <c r="G3533" s="3"/>
    </row>
    <row r="3534">
      <c r="G3534" s="3"/>
    </row>
    <row r="3535">
      <c r="G3535" s="3"/>
    </row>
    <row r="3536">
      <c r="G3536" s="3"/>
    </row>
    <row r="3537">
      <c r="G3537" s="3"/>
    </row>
    <row r="3538">
      <c r="G3538" s="3"/>
    </row>
    <row r="3539">
      <c r="G3539" s="3"/>
    </row>
    <row r="3540">
      <c r="G3540" s="3"/>
    </row>
    <row r="3541">
      <c r="G3541" s="3"/>
    </row>
    <row r="3542">
      <c r="G3542" s="3"/>
    </row>
    <row r="3543">
      <c r="G3543" s="3"/>
    </row>
    <row r="3544">
      <c r="G3544" s="3"/>
    </row>
    <row r="3545">
      <c r="G3545" s="3"/>
    </row>
    <row r="3546">
      <c r="G3546" s="3"/>
    </row>
    <row r="3547">
      <c r="G3547" s="3"/>
    </row>
    <row r="3548">
      <c r="G3548" s="3"/>
    </row>
    <row r="3549">
      <c r="G3549" s="3"/>
    </row>
    <row r="3550">
      <c r="G3550" s="3"/>
    </row>
    <row r="3551">
      <c r="G3551" s="3"/>
    </row>
    <row r="3552">
      <c r="G3552" s="3"/>
    </row>
    <row r="3553">
      <c r="G3553" s="3"/>
    </row>
    <row r="3554">
      <c r="G3554" s="3"/>
    </row>
    <row r="3555">
      <c r="G3555" s="3"/>
    </row>
    <row r="3556">
      <c r="G3556" s="3"/>
    </row>
    <row r="3557">
      <c r="G3557" s="3"/>
    </row>
    <row r="3558">
      <c r="G3558" s="3"/>
    </row>
    <row r="3559">
      <c r="G3559" s="3"/>
    </row>
    <row r="3560">
      <c r="G3560" s="3"/>
    </row>
    <row r="3561">
      <c r="G3561" s="3"/>
    </row>
    <row r="3562">
      <c r="G3562" s="3"/>
    </row>
    <row r="3563">
      <c r="G3563" s="3"/>
    </row>
    <row r="3564">
      <c r="G3564" s="3"/>
    </row>
    <row r="3565">
      <c r="G3565" s="3"/>
    </row>
    <row r="3566">
      <c r="G3566" s="3"/>
    </row>
    <row r="3567">
      <c r="G3567" s="3"/>
    </row>
    <row r="3568">
      <c r="G3568" s="3"/>
    </row>
    <row r="3569">
      <c r="G3569" s="3"/>
    </row>
    <row r="3570">
      <c r="G3570" s="3"/>
    </row>
    <row r="3571">
      <c r="G3571" s="3"/>
    </row>
    <row r="3572">
      <c r="G3572" s="3"/>
    </row>
    <row r="3573">
      <c r="G3573" s="3"/>
    </row>
    <row r="3574">
      <c r="G3574" s="3"/>
    </row>
    <row r="3575">
      <c r="G3575" s="3"/>
    </row>
    <row r="3576">
      <c r="G3576" s="3"/>
    </row>
    <row r="3577">
      <c r="G3577" s="3"/>
    </row>
    <row r="3578">
      <c r="G3578" s="3"/>
    </row>
    <row r="3579">
      <c r="G3579" s="3"/>
    </row>
    <row r="3580">
      <c r="G3580" s="3"/>
    </row>
    <row r="3581">
      <c r="G3581" s="3"/>
    </row>
    <row r="3582">
      <c r="G3582" s="3"/>
    </row>
    <row r="3583">
      <c r="G3583" s="3"/>
    </row>
    <row r="3584">
      <c r="G3584" s="3"/>
    </row>
    <row r="3585">
      <c r="G3585" s="3"/>
    </row>
    <row r="3586">
      <c r="G3586" s="3"/>
    </row>
    <row r="3587">
      <c r="G3587" s="3"/>
    </row>
    <row r="3588">
      <c r="G3588" s="3"/>
    </row>
    <row r="3589">
      <c r="G3589" s="3"/>
    </row>
    <row r="3590">
      <c r="G3590" s="3"/>
    </row>
    <row r="3591">
      <c r="G3591" s="3"/>
    </row>
    <row r="3592">
      <c r="G3592" s="3"/>
    </row>
    <row r="3593">
      <c r="G3593" s="3"/>
    </row>
    <row r="3594">
      <c r="G3594" s="3"/>
    </row>
    <row r="3595">
      <c r="G3595" s="3"/>
    </row>
    <row r="3596">
      <c r="G3596" s="3"/>
    </row>
    <row r="3597">
      <c r="G3597" s="3"/>
    </row>
    <row r="3598">
      <c r="G3598" s="3"/>
    </row>
    <row r="3599">
      <c r="G3599" s="3"/>
    </row>
    <row r="3600">
      <c r="G3600" s="3"/>
    </row>
    <row r="3601">
      <c r="G3601" s="3"/>
    </row>
    <row r="3602">
      <c r="G3602" s="3"/>
    </row>
    <row r="3603">
      <c r="G3603" s="3"/>
    </row>
    <row r="3604">
      <c r="G3604" s="3"/>
    </row>
    <row r="3605">
      <c r="G3605" s="3"/>
    </row>
    <row r="3606">
      <c r="G3606" s="3"/>
    </row>
    <row r="3607">
      <c r="G3607" s="3"/>
    </row>
    <row r="3608">
      <c r="G3608" s="3"/>
    </row>
    <row r="3609">
      <c r="G3609" s="3"/>
    </row>
    <row r="3610">
      <c r="G3610" s="3"/>
    </row>
    <row r="3611">
      <c r="G3611" s="3"/>
    </row>
    <row r="3612">
      <c r="G3612" s="3"/>
    </row>
    <row r="3613">
      <c r="G3613" s="3"/>
    </row>
    <row r="3614">
      <c r="G3614" s="3"/>
    </row>
    <row r="3615">
      <c r="G3615" s="3"/>
    </row>
    <row r="3616">
      <c r="G3616" s="3"/>
    </row>
    <row r="3617">
      <c r="G3617" s="3"/>
    </row>
    <row r="3618">
      <c r="G3618" s="3"/>
    </row>
    <row r="3619">
      <c r="G3619" s="3"/>
    </row>
    <row r="3620">
      <c r="G3620" s="3"/>
    </row>
    <row r="3621">
      <c r="G3621" s="3"/>
    </row>
    <row r="3622">
      <c r="G3622" s="3"/>
    </row>
    <row r="3623">
      <c r="G3623" s="3"/>
    </row>
    <row r="3624">
      <c r="G3624" s="3"/>
    </row>
    <row r="3625">
      <c r="G3625" s="3"/>
    </row>
    <row r="3626">
      <c r="G3626" s="3"/>
    </row>
    <row r="3627">
      <c r="G3627" s="3"/>
    </row>
    <row r="3628">
      <c r="G3628" s="3"/>
    </row>
    <row r="3629">
      <c r="G3629" s="3"/>
    </row>
    <row r="3630">
      <c r="G3630" s="3"/>
    </row>
    <row r="3631">
      <c r="G3631" s="3"/>
    </row>
    <row r="3632">
      <c r="G3632" s="3"/>
    </row>
    <row r="3633">
      <c r="G3633" s="3"/>
    </row>
    <row r="3634">
      <c r="G3634" s="3"/>
    </row>
    <row r="3635">
      <c r="G3635" s="3"/>
    </row>
    <row r="3636">
      <c r="G3636" s="3"/>
    </row>
    <row r="3637">
      <c r="G3637" s="3"/>
    </row>
    <row r="3638">
      <c r="G3638" s="3"/>
    </row>
    <row r="3639">
      <c r="G3639" s="3"/>
    </row>
    <row r="3640">
      <c r="G3640" s="3"/>
    </row>
    <row r="3641">
      <c r="G3641" s="3"/>
    </row>
    <row r="3642">
      <c r="G3642" s="3"/>
    </row>
    <row r="3643">
      <c r="G3643" s="3"/>
    </row>
    <row r="3644">
      <c r="G3644" s="3"/>
    </row>
    <row r="3645">
      <c r="G3645" s="3"/>
    </row>
    <row r="3646">
      <c r="G3646" s="3"/>
    </row>
    <row r="3647">
      <c r="G3647" s="3"/>
    </row>
    <row r="3648">
      <c r="G3648" s="3"/>
    </row>
    <row r="3649">
      <c r="G3649" s="3"/>
    </row>
    <row r="3650">
      <c r="G3650" s="3"/>
    </row>
    <row r="3651">
      <c r="G3651" s="3"/>
    </row>
    <row r="3652">
      <c r="G3652" s="3"/>
    </row>
    <row r="3653">
      <c r="G3653" s="3"/>
    </row>
    <row r="3654">
      <c r="G3654" s="3"/>
    </row>
    <row r="3655">
      <c r="G3655" s="3"/>
    </row>
    <row r="3656">
      <c r="G3656" s="3"/>
    </row>
    <row r="3657">
      <c r="G3657" s="3"/>
    </row>
    <row r="3658">
      <c r="G3658" s="3"/>
    </row>
    <row r="3659">
      <c r="G3659" s="3"/>
    </row>
    <row r="3660">
      <c r="G3660" s="3"/>
    </row>
    <row r="3661">
      <c r="G3661" s="3"/>
    </row>
    <row r="3662">
      <c r="G3662" s="3"/>
    </row>
    <row r="3663">
      <c r="G3663" s="3"/>
    </row>
    <row r="3664">
      <c r="G3664" s="3"/>
    </row>
    <row r="3665">
      <c r="G3665" s="3"/>
    </row>
    <row r="3666">
      <c r="G3666" s="3"/>
    </row>
    <row r="3667">
      <c r="G3667" s="3"/>
    </row>
    <row r="3668">
      <c r="G3668" s="3"/>
    </row>
    <row r="3669">
      <c r="G3669" s="3"/>
    </row>
    <row r="3670">
      <c r="G3670" s="3"/>
    </row>
    <row r="3671">
      <c r="G3671" s="3"/>
    </row>
    <row r="3672">
      <c r="G3672" s="3"/>
    </row>
    <row r="3673">
      <c r="G3673" s="3"/>
    </row>
    <row r="3674">
      <c r="G3674" s="3"/>
    </row>
    <row r="3675">
      <c r="G3675" s="3"/>
    </row>
    <row r="3676">
      <c r="G3676" s="3"/>
    </row>
    <row r="3677">
      <c r="G3677" s="3"/>
    </row>
    <row r="3678">
      <c r="G3678" s="3"/>
    </row>
    <row r="3679">
      <c r="G3679" s="3"/>
    </row>
    <row r="3680">
      <c r="G3680" s="3"/>
    </row>
    <row r="3681">
      <c r="G3681" s="3"/>
    </row>
    <row r="3682">
      <c r="G3682" s="3"/>
    </row>
    <row r="3683">
      <c r="G3683" s="3"/>
    </row>
    <row r="3684">
      <c r="G3684" s="3"/>
    </row>
    <row r="3685">
      <c r="G3685" s="3"/>
    </row>
    <row r="3686">
      <c r="G3686" s="3"/>
    </row>
    <row r="3687">
      <c r="G3687" s="3"/>
    </row>
    <row r="3688">
      <c r="G3688" s="3"/>
    </row>
    <row r="3689">
      <c r="G3689" s="3"/>
    </row>
    <row r="3690">
      <c r="G3690" s="3"/>
    </row>
    <row r="3691">
      <c r="G3691" s="3"/>
    </row>
    <row r="3692">
      <c r="G3692" s="3"/>
    </row>
    <row r="3693">
      <c r="G3693" s="3"/>
    </row>
    <row r="3694">
      <c r="G3694" s="3"/>
    </row>
    <row r="3695">
      <c r="G3695" s="3"/>
    </row>
    <row r="3696">
      <c r="G3696" s="3"/>
    </row>
    <row r="3697">
      <c r="G3697" s="3"/>
    </row>
    <row r="3698">
      <c r="G3698" s="3"/>
    </row>
    <row r="3699">
      <c r="G3699" s="3"/>
    </row>
    <row r="3700">
      <c r="G3700" s="3"/>
    </row>
    <row r="3701">
      <c r="G3701" s="3"/>
    </row>
    <row r="3702">
      <c r="G3702" s="3"/>
    </row>
    <row r="3703">
      <c r="G3703" s="3"/>
    </row>
    <row r="3704">
      <c r="G3704" s="3"/>
    </row>
    <row r="3705">
      <c r="G3705" s="3"/>
    </row>
    <row r="3706">
      <c r="G3706" s="3"/>
    </row>
    <row r="3707">
      <c r="G3707" s="3"/>
    </row>
    <row r="3708">
      <c r="G3708" s="3"/>
    </row>
    <row r="3709">
      <c r="G3709" s="3"/>
    </row>
    <row r="3710">
      <c r="G3710" s="3"/>
    </row>
    <row r="3711">
      <c r="G3711" s="3"/>
    </row>
    <row r="3712">
      <c r="G3712" s="3"/>
    </row>
    <row r="3713">
      <c r="G3713" s="3"/>
    </row>
    <row r="3714">
      <c r="G3714" s="3"/>
    </row>
    <row r="3715">
      <c r="G3715" s="3"/>
    </row>
    <row r="3716">
      <c r="G3716" s="3"/>
    </row>
    <row r="3717">
      <c r="G3717" s="3"/>
    </row>
    <row r="3718">
      <c r="G3718" s="3"/>
    </row>
    <row r="3719">
      <c r="G3719" s="3"/>
    </row>
    <row r="3720">
      <c r="G3720" s="3"/>
    </row>
    <row r="3721">
      <c r="G3721" s="3"/>
    </row>
    <row r="3722">
      <c r="G3722" s="3"/>
    </row>
    <row r="3723">
      <c r="G3723" s="3"/>
    </row>
    <row r="3724">
      <c r="G3724" s="3"/>
    </row>
    <row r="3725">
      <c r="G3725" s="3"/>
    </row>
    <row r="3726">
      <c r="G3726" s="3"/>
    </row>
    <row r="3727">
      <c r="G3727" s="3"/>
    </row>
    <row r="3728">
      <c r="G3728" s="3"/>
    </row>
    <row r="3729">
      <c r="G3729" s="3"/>
    </row>
    <row r="3730">
      <c r="G3730" s="3"/>
    </row>
    <row r="3731">
      <c r="G3731" s="3"/>
    </row>
    <row r="3732">
      <c r="G3732" s="3"/>
    </row>
    <row r="3733">
      <c r="G3733" s="3"/>
    </row>
    <row r="3734">
      <c r="G3734" s="3"/>
    </row>
    <row r="3735">
      <c r="G3735" s="3"/>
    </row>
    <row r="3736">
      <c r="G3736" s="3"/>
    </row>
    <row r="3737">
      <c r="G3737" s="3"/>
    </row>
    <row r="3738">
      <c r="G3738" s="3"/>
    </row>
    <row r="3739">
      <c r="G3739" s="3"/>
    </row>
    <row r="3740">
      <c r="G3740" s="3"/>
    </row>
    <row r="3741">
      <c r="G3741" s="3"/>
    </row>
    <row r="3742">
      <c r="G3742" s="3"/>
    </row>
    <row r="3743">
      <c r="G3743" s="3"/>
    </row>
    <row r="3744">
      <c r="G3744" s="3"/>
    </row>
    <row r="3745">
      <c r="G3745" s="3"/>
    </row>
    <row r="3746">
      <c r="G3746" s="3"/>
    </row>
    <row r="3747">
      <c r="G3747" s="3"/>
    </row>
    <row r="3748">
      <c r="G3748" s="3"/>
    </row>
    <row r="3749">
      <c r="G3749" s="3"/>
    </row>
    <row r="3750">
      <c r="G3750" s="3"/>
    </row>
    <row r="3751">
      <c r="G3751" s="3"/>
    </row>
    <row r="3752">
      <c r="G3752" s="3"/>
    </row>
    <row r="3753">
      <c r="G3753" s="3"/>
    </row>
    <row r="3754">
      <c r="G3754" s="3"/>
    </row>
    <row r="3755">
      <c r="G3755" s="3"/>
    </row>
    <row r="3756">
      <c r="G3756" s="3"/>
    </row>
    <row r="3757">
      <c r="G3757" s="3"/>
    </row>
    <row r="3758">
      <c r="G3758" s="3"/>
    </row>
    <row r="3759">
      <c r="G3759" s="3"/>
    </row>
    <row r="3760">
      <c r="G3760" s="3"/>
    </row>
    <row r="3761">
      <c r="G3761" s="3"/>
    </row>
    <row r="3762">
      <c r="G3762" s="3"/>
    </row>
    <row r="3763">
      <c r="G3763" s="3"/>
    </row>
    <row r="3764">
      <c r="G3764" s="3"/>
    </row>
    <row r="3765">
      <c r="G3765" s="3"/>
    </row>
    <row r="3766">
      <c r="G3766" s="3"/>
    </row>
    <row r="3767">
      <c r="G3767" s="3"/>
    </row>
    <row r="3768">
      <c r="G3768" s="3"/>
    </row>
    <row r="3769">
      <c r="G3769" s="3"/>
    </row>
    <row r="3770">
      <c r="G3770" s="3"/>
    </row>
    <row r="3771">
      <c r="G3771" s="3"/>
    </row>
    <row r="3772">
      <c r="G3772" s="3"/>
    </row>
    <row r="3773">
      <c r="G3773" s="3"/>
    </row>
    <row r="3774">
      <c r="G3774" s="3"/>
    </row>
    <row r="3775">
      <c r="G3775" s="3"/>
    </row>
    <row r="3776">
      <c r="G3776" s="3"/>
    </row>
    <row r="3777">
      <c r="G3777" s="3"/>
    </row>
    <row r="3778">
      <c r="G3778" s="3"/>
    </row>
    <row r="3779">
      <c r="G3779" s="3"/>
    </row>
    <row r="3780">
      <c r="G3780" s="3"/>
    </row>
    <row r="3781">
      <c r="G3781" s="3"/>
    </row>
    <row r="3782">
      <c r="G3782" s="3"/>
    </row>
    <row r="3783">
      <c r="G3783" s="3"/>
    </row>
    <row r="3784">
      <c r="G3784" s="3"/>
    </row>
    <row r="3785">
      <c r="G3785" s="3"/>
    </row>
    <row r="3786">
      <c r="G3786" s="3"/>
    </row>
    <row r="3787">
      <c r="G3787" s="3"/>
    </row>
    <row r="3788">
      <c r="G3788" s="3"/>
    </row>
    <row r="3789">
      <c r="G3789" s="3"/>
    </row>
    <row r="3790">
      <c r="G3790" s="3"/>
    </row>
    <row r="3791">
      <c r="G3791" s="3"/>
    </row>
    <row r="3792">
      <c r="G3792" s="3"/>
    </row>
    <row r="3793">
      <c r="G3793" s="3"/>
    </row>
    <row r="3794">
      <c r="G3794" s="3"/>
    </row>
    <row r="3795">
      <c r="G3795" s="3"/>
    </row>
    <row r="3796">
      <c r="G3796" s="3"/>
    </row>
    <row r="3797">
      <c r="G3797" s="3"/>
    </row>
    <row r="3798">
      <c r="G3798" s="3"/>
    </row>
    <row r="3799">
      <c r="G3799" s="3"/>
    </row>
    <row r="3800">
      <c r="G3800" s="3"/>
    </row>
    <row r="3801">
      <c r="G3801" s="3"/>
    </row>
    <row r="3802">
      <c r="G3802" s="3"/>
    </row>
    <row r="3803">
      <c r="G3803" s="3"/>
    </row>
    <row r="3804">
      <c r="G3804" s="3"/>
    </row>
    <row r="3805">
      <c r="G3805" s="3"/>
    </row>
    <row r="3806">
      <c r="G3806" s="3"/>
    </row>
    <row r="3807">
      <c r="G3807" s="3"/>
    </row>
    <row r="3808">
      <c r="G3808" s="3"/>
    </row>
    <row r="3809">
      <c r="G3809" s="3"/>
    </row>
    <row r="3810">
      <c r="G3810" s="3"/>
    </row>
    <row r="3811">
      <c r="G3811" s="3"/>
    </row>
    <row r="3812">
      <c r="G3812" s="3"/>
    </row>
    <row r="3813">
      <c r="G3813" s="3"/>
    </row>
    <row r="3814">
      <c r="G3814" s="3"/>
    </row>
    <row r="3815">
      <c r="G3815" s="3"/>
    </row>
    <row r="3816">
      <c r="G3816" s="3"/>
    </row>
    <row r="3817">
      <c r="G3817" s="3"/>
    </row>
    <row r="3818">
      <c r="G3818" s="3"/>
    </row>
    <row r="3819">
      <c r="G3819" s="3"/>
    </row>
    <row r="3820">
      <c r="G3820" s="3"/>
    </row>
    <row r="3821">
      <c r="G3821" s="3"/>
    </row>
    <row r="3822">
      <c r="G3822" s="3"/>
    </row>
    <row r="3823">
      <c r="G3823" s="3"/>
    </row>
    <row r="3824">
      <c r="G3824" s="3"/>
    </row>
    <row r="3825">
      <c r="G3825" s="3"/>
    </row>
    <row r="3826">
      <c r="G3826" s="3"/>
    </row>
    <row r="3827">
      <c r="G3827" s="3"/>
    </row>
    <row r="3828">
      <c r="G3828" s="3"/>
    </row>
    <row r="3829">
      <c r="G3829" s="3"/>
    </row>
    <row r="3830">
      <c r="G3830" s="3"/>
    </row>
    <row r="3831">
      <c r="G3831" s="3"/>
    </row>
    <row r="3832">
      <c r="G3832" s="3"/>
    </row>
    <row r="3833">
      <c r="G3833" s="3"/>
    </row>
    <row r="3834">
      <c r="G3834" s="3"/>
    </row>
    <row r="3835">
      <c r="G3835" s="3"/>
    </row>
    <row r="3836">
      <c r="G3836" s="3"/>
    </row>
    <row r="3837">
      <c r="G3837" s="3"/>
    </row>
    <row r="3838">
      <c r="G3838" s="3"/>
    </row>
    <row r="3839">
      <c r="G3839" s="3"/>
    </row>
    <row r="3840">
      <c r="G3840" s="3"/>
    </row>
    <row r="3841">
      <c r="G3841" s="3"/>
    </row>
    <row r="3842">
      <c r="G3842" s="3"/>
    </row>
    <row r="3843">
      <c r="G3843" s="3"/>
    </row>
    <row r="3844">
      <c r="G3844" s="3"/>
    </row>
    <row r="3845">
      <c r="G3845" s="3"/>
    </row>
    <row r="3846">
      <c r="G3846" s="3"/>
    </row>
    <row r="3847">
      <c r="G3847" s="3"/>
    </row>
    <row r="3848">
      <c r="G3848" s="3"/>
    </row>
    <row r="3849">
      <c r="G3849" s="3"/>
    </row>
    <row r="3850">
      <c r="G3850" s="3"/>
    </row>
    <row r="3851">
      <c r="G3851" s="3"/>
    </row>
    <row r="3852">
      <c r="G3852" s="3"/>
    </row>
    <row r="3853">
      <c r="G3853" s="3"/>
    </row>
    <row r="3854">
      <c r="G3854" s="3"/>
    </row>
    <row r="3855">
      <c r="G3855" s="3"/>
    </row>
    <row r="3856">
      <c r="G3856" s="3"/>
    </row>
    <row r="3857">
      <c r="G3857" s="3"/>
    </row>
    <row r="3858">
      <c r="G3858" s="3"/>
    </row>
    <row r="3859">
      <c r="G3859" s="3"/>
    </row>
    <row r="3860">
      <c r="G3860" s="3"/>
    </row>
    <row r="3861">
      <c r="G3861" s="3"/>
    </row>
    <row r="3862">
      <c r="G3862" s="3"/>
    </row>
    <row r="3863">
      <c r="G3863" s="3"/>
    </row>
    <row r="3864">
      <c r="G3864" s="3"/>
    </row>
    <row r="3865">
      <c r="G3865" s="3"/>
    </row>
    <row r="3866">
      <c r="G3866" s="3"/>
    </row>
    <row r="3867">
      <c r="G3867" s="3"/>
    </row>
    <row r="3868">
      <c r="G3868" s="3"/>
    </row>
    <row r="3869">
      <c r="G3869" s="3"/>
    </row>
    <row r="3870">
      <c r="G3870" s="3"/>
    </row>
    <row r="3871">
      <c r="G3871" s="3"/>
    </row>
    <row r="3872">
      <c r="G3872" s="3"/>
    </row>
    <row r="3873">
      <c r="G3873" s="3"/>
    </row>
    <row r="3874">
      <c r="G3874" s="3"/>
    </row>
    <row r="3875">
      <c r="G3875" s="3"/>
    </row>
    <row r="3876">
      <c r="G3876" s="3"/>
    </row>
    <row r="3877">
      <c r="G3877" s="3"/>
    </row>
    <row r="3878">
      <c r="G3878" s="3"/>
    </row>
    <row r="3879">
      <c r="G3879" s="3"/>
    </row>
    <row r="3880">
      <c r="G3880" s="3"/>
    </row>
    <row r="3881">
      <c r="G3881" s="3"/>
    </row>
    <row r="3882">
      <c r="G3882" s="3"/>
    </row>
    <row r="3883">
      <c r="G3883" s="3"/>
    </row>
    <row r="3884">
      <c r="G3884" s="3"/>
    </row>
    <row r="3885">
      <c r="G3885" s="3"/>
    </row>
    <row r="3886">
      <c r="G3886" s="3"/>
    </row>
    <row r="3887">
      <c r="G3887" s="3"/>
    </row>
    <row r="3888">
      <c r="G3888" s="3"/>
    </row>
    <row r="3889">
      <c r="G3889" s="3"/>
    </row>
    <row r="3890">
      <c r="G3890" s="3"/>
    </row>
    <row r="3891">
      <c r="G3891" s="3"/>
    </row>
    <row r="3892">
      <c r="G3892" s="3"/>
    </row>
    <row r="3893">
      <c r="G3893" s="3"/>
    </row>
    <row r="3894">
      <c r="G3894" s="3"/>
    </row>
    <row r="3895">
      <c r="G3895" s="3"/>
    </row>
    <row r="3896">
      <c r="G3896" s="3"/>
    </row>
    <row r="3897">
      <c r="G3897" s="3"/>
    </row>
    <row r="3898">
      <c r="G3898" s="3"/>
    </row>
    <row r="3899">
      <c r="G3899" s="3"/>
    </row>
    <row r="3900">
      <c r="G3900" s="3"/>
    </row>
    <row r="3901">
      <c r="G3901" s="3"/>
    </row>
    <row r="3902">
      <c r="G3902" s="3"/>
    </row>
    <row r="3903">
      <c r="G3903" s="3"/>
    </row>
    <row r="3904">
      <c r="G3904" s="3"/>
    </row>
    <row r="3905">
      <c r="G3905" s="3"/>
    </row>
    <row r="3906">
      <c r="G3906" s="3"/>
    </row>
    <row r="3907">
      <c r="G3907" s="3"/>
    </row>
    <row r="3908">
      <c r="G3908" s="3"/>
    </row>
    <row r="3909">
      <c r="G3909" s="3"/>
    </row>
    <row r="3910">
      <c r="G3910" s="3"/>
    </row>
    <row r="3911">
      <c r="G3911" s="3"/>
    </row>
    <row r="3912">
      <c r="G3912" s="3"/>
    </row>
    <row r="3913">
      <c r="G3913" s="3"/>
    </row>
    <row r="3914">
      <c r="G3914" s="3"/>
    </row>
    <row r="3915">
      <c r="G3915" s="3"/>
    </row>
    <row r="3916">
      <c r="G3916" s="3"/>
    </row>
    <row r="3917">
      <c r="G3917" s="3"/>
    </row>
    <row r="3918">
      <c r="G3918" s="3"/>
    </row>
    <row r="3919">
      <c r="G3919" s="3"/>
    </row>
    <row r="3920">
      <c r="G3920" s="3"/>
    </row>
    <row r="3921">
      <c r="G3921" s="3"/>
    </row>
    <row r="3922">
      <c r="G3922" s="3"/>
    </row>
    <row r="3923">
      <c r="G3923" s="3"/>
    </row>
    <row r="3924">
      <c r="G3924" s="3"/>
    </row>
    <row r="3925">
      <c r="G3925" s="3"/>
    </row>
    <row r="3926">
      <c r="G3926" s="3"/>
    </row>
    <row r="3927">
      <c r="G3927" s="3"/>
    </row>
    <row r="3928">
      <c r="G3928" s="3"/>
    </row>
    <row r="3929">
      <c r="G3929" s="3"/>
    </row>
    <row r="3930">
      <c r="G3930" s="3"/>
    </row>
    <row r="3931">
      <c r="G3931" s="3"/>
    </row>
    <row r="3932">
      <c r="G3932" s="3"/>
    </row>
    <row r="3933">
      <c r="G3933" s="3"/>
    </row>
    <row r="3934">
      <c r="G3934" s="3"/>
    </row>
    <row r="3935">
      <c r="G3935" s="3"/>
    </row>
    <row r="3936">
      <c r="G3936" s="3"/>
    </row>
    <row r="3937">
      <c r="G3937" s="3"/>
    </row>
    <row r="3938">
      <c r="G3938" s="3"/>
    </row>
    <row r="3939">
      <c r="G3939" s="3"/>
    </row>
    <row r="3940">
      <c r="G3940" s="3"/>
    </row>
    <row r="3941">
      <c r="G3941" s="3"/>
    </row>
    <row r="3942">
      <c r="G3942" s="3"/>
    </row>
    <row r="3943">
      <c r="G3943" s="3"/>
    </row>
    <row r="3944">
      <c r="G3944" s="3"/>
    </row>
    <row r="3945">
      <c r="G3945" s="3"/>
    </row>
    <row r="3946">
      <c r="G3946" s="3"/>
    </row>
    <row r="3947">
      <c r="G3947" s="3"/>
    </row>
    <row r="3948">
      <c r="G3948" s="3"/>
    </row>
    <row r="3949">
      <c r="G3949" s="3"/>
    </row>
    <row r="3950">
      <c r="G3950" s="3"/>
    </row>
    <row r="3951">
      <c r="G3951" s="3"/>
    </row>
    <row r="3952">
      <c r="G3952" s="3"/>
    </row>
    <row r="3953">
      <c r="G3953" s="3"/>
    </row>
    <row r="3954">
      <c r="G3954" s="3"/>
    </row>
    <row r="3955">
      <c r="G3955" s="3"/>
    </row>
    <row r="3956">
      <c r="G3956" s="3"/>
    </row>
    <row r="3957">
      <c r="G3957" s="3"/>
    </row>
    <row r="3958">
      <c r="G3958" s="3"/>
    </row>
    <row r="3959">
      <c r="G3959" s="3"/>
    </row>
    <row r="3960">
      <c r="G3960" s="3"/>
    </row>
    <row r="3961">
      <c r="G3961" s="3"/>
    </row>
    <row r="3962">
      <c r="G3962" s="3"/>
    </row>
    <row r="3963">
      <c r="G3963" s="3"/>
    </row>
    <row r="3964">
      <c r="G3964" s="3"/>
    </row>
    <row r="3965">
      <c r="G3965" s="3"/>
    </row>
    <row r="3966">
      <c r="G3966" s="3"/>
    </row>
    <row r="3967">
      <c r="G3967" s="3"/>
    </row>
    <row r="3968">
      <c r="G3968" s="3"/>
    </row>
    <row r="3969">
      <c r="G3969" s="3"/>
    </row>
    <row r="3970">
      <c r="G3970" s="3"/>
    </row>
    <row r="3971">
      <c r="G3971" s="3"/>
    </row>
    <row r="3972">
      <c r="G3972" s="3"/>
    </row>
    <row r="3973">
      <c r="G3973" s="3"/>
    </row>
    <row r="3974">
      <c r="G3974" s="3"/>
    </row>
    <row r="3975">
      <c r="G3975" s="3"/>
    </row>
    <row r="3976">
      <c r="G3976" s="3"/>
    </row>
    <row r="3977">
      <c r="G3977" s="3"/>
    </row>
    <row r="3978">
      <c r="G3978" s="3"/>
    </row>
    <row r="3979">
      <c r="G3979" s="3"/>
    </row>
    <row r="3980">
      <c r="G3980" s="3"/>
    </row>
    <row r="3981">
      <c r="G3981" s="3"/>
    </row>
    <row r="3982">
      <c r="G3982" s="3"/>
    </row>
    <row r="3983">
      <c r="G3983" s="3"/>
    </row>
    <row r="3984">
      <c r="G3984" s="3"/>
    </row>
    <row r="3985">
      <c r="G3985" s="3"/>
    </row>
    <row r="3986">
      <c r="G3986" s="3"/>
    </row>
    <row r="3987">
      <c r="G3987" s="3"/>
    </row>
    <row r="3988">
      <c r="G3988" s="3"/>
    </row>
    <row r="3989">
      <c r="G3989" s="3"/>
    </row>
    <row r="3990">
      <c r="G3990" s="3"/>
    </row>
    <row r="3991">
      <c r="G3991" s="3"/>
    </row>
    <row r="3992">
      <c r="G3992" s="3"/>
    </row>
    <row r="3993">
      <c r="G3993" s="3"/>
    </row>
    <row r="3994">
      <c r="G3994" s="3"/>
    </row>
    <row r="3995">
      <c r="G3995" s="3"/>
    </row>
    <row r="3996">
      <c r="G3996" s="3"/>
    </row>
    <row r="3997">
      <c r="G3997" s="3"/>
    </row>
    <row r="3998">
      <c r="G3998" s="3"/>
    </row>
    <row r="3999">
      <c r="G3999" s="3"/>
    </row>
    <row r="4000">
      <c r="G4000" s="3"/>
    </row>
    <row r="4001">
      <c r="G4001" s="3"/>
    </row>
    <row r="4002">
      <c r="G4002" s="3"/>
    </row>
    <row r="4003">
      <c r="G4003" s="3"/>
    </row>
    <row r="4004">
      <c r="G4004" s="3"/>
    </row>
    <row r="4005">
      <c r="G4005" s="3"/>
    </row>
    <row r="4006">
      <c r="G4006" s="3"/>
    </row>
    <row r="4007">
      <c r="G4007" s="3"/>
    </row>
    <row r="4008">
      <c r="G4008" s="3"/>
    </row>
    <row r="4009">
      <c r="G4009" s="3"/>
    </row>
    <row r="4010">
      <c r="G4010" s="3"/>
    </row>
    <row r="4011">
      <c r="G4011" s="3"/>
    </row>
    <row r="4012">
      <c r="G4012" s="3"/>
    </row>
    <row r="4013">
      <c r="G4013" s="3"/>
    </row>
    <row r="4014">
      <c r="G4014" s="3"/>
    </row>
    <row r="4015">
      <c r="G4015" s="3"/>
    </row>
    <row r="4016">
      <c r="G4016" s="3"/>
    </row>
    <row r="4017">
      <c r="G4017" s="3"/>
    </row>
    <row r="4018">
      <c r="G4018" s="3"/>
    </row>
    <row r="4019">
      <c r="G4019" s="3"/>
    </row>
    <row r="4020">
      <c r="G4020" s="3"/>
    </row>
    <row r="4021">
      <c r="G4021" s="3"/>
    </row>
    <row r="4022">
      <c r="G4022" s="3"/>
    </row>
    <row r="4023">
      <c r="G4023" s="3"/>
    </row>
    <row r="4024">
      <c r="G4024" s="3"/>
    </row>
    <row r="4025">
      <c r="G4025" s="3"/>
    </row>
    <row r="4026">
      <c r="G4026" s="3"/>
    </row>
    <row r="4027">
      <c r="G4027" s="3"/>
    </row>
    <row r="4028">
      <c r="G4028" s="3"/>
    </row>
    <row r="4029">
      <c r="G4029" s="3"/>
    </row>
    <row r="4030">
      <c r="G4030" s="3"/>
    </row>
    <row r="4031">
      <c r="G4031" s="3"/>
    </row>
    <row r="4032">
      <c r="G4032" s="3"/>
    </row>
    <row r="4033">
      <c r="G4033" s="3"/>
    </row>
    <row r="4034">
      <c r="G4034" s="3"/>
    </row>
    <row r="4035">
      <c r="G4035" s="3"/>
    </row>
    <row r="4036">
      <c r="G4036" s="3"/>
    </row>
    <row r="4037">
      <c r="G4037" s="3"/>
    </row>
    <row r="4038">
      <c r="G4038" s="3"/>
    </row>
    <row r="4039">
      <c r="G4039" s="3"/>
    </row>
    <row r="4040">
      <c r="G4040" s="3"/>
    </row>
    <row r="4041">
      <c r="G4041" s="3"/>
    </row>
    <row r="4042">
      <c r="G4042" s="3"/>
    </row>
    <row r="4043">
      <c r="G4043" s="3"/>
    </row>
    <row r="4044">
      <c r="G4044" s="3"/>
    </row>
    <row r="4045">
      <c r="G4045" s="3"/>
    </row>
    <row r="4046">
      <c r="G4046" s="3"/>
    </row>
    <row r="4047">
      <c r="G4047" s="3"/>
    </row>
    <row r="4048">
      <c r="G4048" s="3"/>
    </row>
    <row r="4049">
      <c r="G4049" s="3"/>
    </row>
    <row r="4050">
      <c r="G4050" s="3"/>
    </row>
    <row r="4051">
      <c r="G4051" s="3"/>
    </row>
    <row r="4052">
      <c r="G4052" s="3"/>
    </row>
    <row r="4053">
      <c r="G4053" s="3"/>
    </row>
    <row r="4054">
      <c r="G4054" s="3"/>
    </row>
    <row r="4055">
      <c r="G4055" s="3"/>
    </row>
    <row r="4056">
      <c r="G4056" s="3"/>
    </row>
    <row r="4057">
      <c r="G4057" s="3"/>
    </row>
    <row r="4058">
      <c r="G4058" s="3"/>
    </row>
    <row r="4059">
      <c r="G4059" s="3"/>
    </row>
    <row r="4060">
      <c r="G4060" s="3"/>
    </row>
    <row r="4061">
      <c r="G4061" s="3"/>
    </row>
    <row r="4062">
      <c r="G4062" s="3"/>
    </row>
    <row r="4063">
      <c r="G4063" s="3"/>
    </row>
    <row r="4064">
      <c r="G4064" s="3"/>
    </row>
    <row r="4065">
      <c r="G4065" s="3"/>
    </row>
    <row r="4066">
      <c r="G4066" s="3"/>
    </row>
    <row r="4067">
      <c r="G4067" s="3"/>
    </row>
    <row r="4068">
      <c r="G4068" s="3"/>
    </row>
    <row r="4069">
      <c r="G4069" s="3"/>
    </row>
    <row r="4070">
      <c r="G4070" s="3"/>
    </row>
    <row r="4071">
      <c r="G4071" s="3"/>
    </row>
    <row r="4072">
      <c r="G4072" s="3"/>
    </row>
    <row r="4073">
      <c r="G4073" s="3"/>
    </row>
    <row r="4074">
      <c r="G4074" s="3"/>
    </row>
    <row r="4075">
      <c r="G4075" s="3"/>
    </row>
    <row r="4076">
      <c r="G4076" s="3"/>
    </row>
    <row r="4077">
      <c r="G4077" s="3"/>
    </row>
    <row r="4078">
      <c r="G4078" s="3"/>
    </row>
    <row r="4079">
      <c r="G4079" s="3"/>
    </row>
    <row r="4080">
      <c r="G4080" s="3"/>
    </row>
    <row r="4081">
      <c r="G4081" s="3"/>
    </row>
    <row r="4082">
      <c r="G4082" s="3"/>
    </row>
    <row r="4083">
      <c r="G4083" s="3"/>
    </row>
    <row r="4084">
      <c r="G4084" s="3"/>
    </row>
    <row r="4085">
      <c r="G4085" s="3"/>
    </row>
    <row r="4086">
      <c r="G4086" s="3"/>
    </row>
    <row r="4087">
      <c r="G4087" s="3"/>
    </row>
    <row r="4088">
      <c r="G4088" s="3"/>
    </row>
    <row r="4089">
      <c r="G4089" s="3"/>
    </row>
    <row r="4090">
      <c r="G4090" s="3"/>
    </row>
    <row r="4091">
      <c r="G4091" s="3"/>
    </row>
    <row r="4092">
      <c r="G4092" s="3"/>
    </row>
    <row r="4093">
      <c r="G4093" s="3"/>
    </row>
    <row r="4094">
      <c r="G4094" s="3"/>
    </row>
    <row r="4095">
      <c r="G4095" s="3"/>
    </row>
    <row r="4096">
      <c r="G4096" s="3"/>
    </row>
    <row r="4097">
      <c r="G4097" s="3"/>
    </row>
    <row r="4098">
      <c r="G4098" s="3"/>
    </row>
    <row r="4099">
      <c r="G4099" s="3"/>
    </row>
    <row r="4100">
      <c r="G4100" s="3"/>
    </row>
    <row r="4101">
      <c r="G4101" s="3"/>
    </row>
    <row r="4102">
      <c r="G4102" s="3"/>
    </row>
    <row r="4103">
      <c r="G4103" s="3"/>
    </row>
    <row r="4104">
      <c r="G4104" s="3"/>
    </row>
    <row r="4105">
      <c r="G4105" s="3"/>
    </row>
    <row r="4106">
      <c r="G4106" s="3"/>
    </row>
    <row r="4107">
      <c r="G4107" s="3"/>
    </row>
    <row r="4108">
      <c r="G4108" s="3"/>
    </row>
    <row r="4109">
      <c r="G4109" s="3"/>
    </row>
    <row r="4110">
      <c r="G4110" s="3"/>
    </row>
    <row r="4111">
      <c r="G4111" s="3"/>
    </row>
    <row r="4112">
      <c r="G4112" s="3"/>
    </row>
    <row r="4113">
      <c r="G4113" s="3"/>
    </row>
    <row r="4114">
      <c r="G4114" s="3"/>
    </row>
    <row r="4115">
      <c r="G4115" s="3"/>
    </row>
    <row r="4116">
      <c r="G4116" s="3"/>
    </row>
    <row r="4117">
      <c r="G4117" s="3"/>
    </row>
    <row r="4118">
      <c r="G4118" s="3"/>
    </row>
    <row r="4119">
      <c r="G4119" s="3"/>
    </row>
    <row r="4120">
      <c r="G4120" s="3"/>
    </row>
    <row r="4121">
      <c r="G4121" s="3"/>
    </row>
    <row r="4122">
      <c r="G4122" s="3"/>
    </row>
    <row r="4123">
      <c r="G4123" s="3"/>
    </row>
    <row r="4124">
      <c r="G4124" s="3"/>
    </row>
    <row r="4125">
      <c r="G4125" s="3"/>
    </row>
    <row r="4126">
      <c r="G4126" s="3"/>
    </row>
    <row r="4127">
      <c r="G4127" s="3"/>
    </row>
    <row r="4128">
      <c r="G4128" s="3"/>
    </row>
    <row r="4129">
      <c r="G4129" s="3"/>
    </row>
    <row r="4130">
      <c r="G4130" s="3"/>
    </row>
  </sheetData>
  <conditionalFormatting sqref="G2">
    <cfRule type="notContainsBlanks" dxfId="0" priority="1">
      <formula>LEN(TRIM(G2))&gt;0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4.63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12</v>
      </c>
      <c r="I1" s="2" t="s">
        <v>8</v>
      </c>
      <c r="K1" s="2" t="s">
        <v>9</v>
      </c>
      <c r="L1" s="2" t="s">
        <v>10</v>
      </c>
      <c r="M1" s="2" t="s">
        <v>11</v>
      </c>
    </row>
    <row r="2">
      <c r="A2" s="2">
        <v>0.05</v>
      </c>
      <c r="B2" s="2">
        <v>232.0</v>
      </c>
      <c r="C2" s="2">
        <v>1.9</v>
      </c>
      <c r="D2" s="2">
        <v>4.76</v>
      </c>
      <c r="E2" s="2">
        <v>0.16</v>
      </c>
      <c r="F2" s="2">
        <v>50.0</v>
      </c>
      <c r="G2" s="3">
        <v>44462.859627384256</v>
      </c>
      <c r="H2" s="5">
        <f>IFERROR(__xludf.DUMMYFUNCTION("SPLIT(G2,"","")"),44462.0)</f>
        <v>44462</v>
      </c>
      <c r="I2" s="6">
        <f>IFERROR(__xludf.DUMMYFUNCTION("""COMPUTED_VALUE"""),0.8596296296296296)</f>
        <v>0.8596296296</v>
      </c>
      <c r="K2" s="2">
        <v>2.0</v>
      </c>
      <c r="L2" s="2">
        <v>6.45</v>
      </c>
      <c r="M2" s="4">
        <v>995.0</v>
      </c>
    </row>
    <row r="3">
      <c r="A3" s="2">
        <v>0.05</v>
      </c>
      <c r="B3" s="2">
        <v>232.0</v>
      </c>
      <c r="C3" s="2">
        <v>1.9</v>
      </c>
      <c r="D3" s="2">
        <v>4.76</v>
      </c>
      <c r="E3" s="2">
        <v>0.16</v>
      </c>
      <c r="F3" s="2">
        <v>50.0</v>
      </c>
      <c r="G3" s="3">
        <v>44462.85967488426</v>
      </c>
      <c r="H3" s="5">
        <f>IFERROR(__xludf.DUMMYFUNCTION("SPLIT(G3,"","")"),44462.0)</f>
        <v>44462</v>
      </c>
      <c r="I3" s="6">
        <f>IFERROR(__xludf.DUMMYFUNCTION("""COMPUTED_VALUE"""),0.8596759259259259)</f>
        <v>0.8596759259</v>
      </c>
    </row>
    <row r="4">
      <c r="A4" s="2">
        <v>0.15</v>
      </c>
      <c r="B4" s="2">
        <v>231.8</v>
      </c>
      <c r="C4" s="2">
        <v>12.3</v>
      </c>
      <c r="D4" s="2">
        <v>4.76</v>
      </c>
      <c r="E4" s="2">
        <v>0.36</v>
      </c>
      <c r="F4" s="2">
        <v>50.0</v>
      </c>
      <c r="G4" s="3">
        <v>44462.859773240736</v>
      </c>
      <c r="H4" s="5">
        <f>IFERROR(__xludf.DUMMYFUNCTION("SPLIT(G4,"","")"),44462.0)</f>
        <v>44462</v>
      </c>
      <c r="I4" s="6">
        <f>IFERROR(__xludf.DUMMYFUNCTION("""COMPUTED_VALUE"""),0.8597685185185185)</f>
        <v>0.8597685185</v>
      </c>
      <c r="J4" s="2" t="s">
        <v>13</v>
      </c>
    </row>
    <row r="5">
      <c r="A5" s="2">
        <v>0.15</v>
      </c>
      <c r="B5" s="2">
        <v>231.8</v>
      </c>
      <c r="C5" s="2">
        <v>12.4</v>
      </c>
      <c r="D5" s="2">
        <v>4.76</v>
      </c>
      <c r="E5" s="2">
        <v>0.36</v>
      </c>
      <c r="F5" s="2">
        <v>50.0</v>
      </c>
      <c r="G5" s="3">
        <v>44462.859872789355</v>
      </c>
      <c r="H5" s="5">
        <f>IFERROR(__xludf.DUMMYFUNCTION("SPLIT(G5,"","")"),44462.0)</f>
        <v>44462</v>
      </c>
      <c r="I5" s="6">
        <f>IFERROR(__xludf.DUMMYFUNCTION("""COMPUTED_VALUE"""),0.8598726851851852)</f>
        <v>0.8598726852</v>
      </c>
      <c r="J5" s="2" t="s">
        <v>13</v>
      </c>
    </row>
    <row r="6">
      <c r="A6" s="2">
        <v>0.05</v>
      </c>
      <c r="B6" s="2">
        <v>231.8</v>
      </c>
      <c r="C6" s="2">
        <v>1.9</v>
      </c>
      <c r="D6" s="2">
        <v>4.76</v>
      </c>
      <c r="E6" s="2">
        <v>0.16</v>
      </c>
      <c r="F6" s="2">
        <v>50.0</v>
      </c>
      <c r="G6" s="3">
        <v>44462.86003287037</v>
      </c>
      <c r="H6" s="5">
        <f>IFERROR(__xludf.DUMMYFUNCTION("SPLIT(G6,"","")"),44462.0)</f>
        <v>44462</v>
      </c>
      <c r="I6" s="6">
        <f>IFERROR(__xludf.DUMMYFUNCTION("""COMPUTED_VALUE"""),0.8600347222222222)</f>
        <v>0.8600347222</v>
      </c>
    </row>
    <row r="7">
      <c r="A7" s="2">
        <v>0.05</v>
      </c>
      <c r="B7" s="2">
        <v>231.8</v>
      </c>
      <c r="C7" s="2">
        <v>1.9</v>
      </c>
      <c r="D7" s="2">
        <v>4.76</v>
      </c>
      <c r="E7" s="2">
        <v>0.16</v>
      </c>
      <c r="F7" s="2">
        <v>50.0</v>
      </c>
      <c r="G7" s="3">
        <v>44462.86014128472</v>
      </c>
      <c r="H7" s="5">
        <f>IFERROR(__xludf.DUMMYFUNCTION("SPLIT(G7,"","")"),44462.0)</f>
        <v>44462</v>
      </c>
      <c r="I7" s="6">
        <f>IFERROR(__xludf.DUMMYFUNCTION("""COMPUTED_VALUE"""),0.8601388888888889)</f>
        <v>0.8601388889</v>
      </c>
    </row>
    <row r="8">
      <c r="A8" s="2">
        <v>0.05</v>
      </c>
      <c r="B8" s="2">
        <v>231.6</v>
      </c>
      <c r="C8" s="2">
        <v>2.0</v>
      </c>
      <c r="D8" s="2">
        <v>4.76</v>
      </c>
      <c r="E8" s="2">
        <v>0.17</v>
      </c>
      <c r="F8" s="2">
        <v>50.0</v>
      </c>
      <c r="G8" s="3">
        <v>44462.86024533564</v>
      </c>
      <c r="H8" s="5">
        <f>IFERROR(__xludf.DUMMYFUNCTION("SPLIT(G8,"","")"),44462.0)</f>
        <v>44462</v>
      </c>
      <c r="I8" s="6">
        <f>IFERROR(__xludf.DUMMYFUNCTION("""COMPUTED_VALUE"""),0.8602430555555556)</f>
        <v>0.8602430556</v>
      </c>
    </row>
    <row r="9">
      <c r="A9" s="2">
        <v>0.05</v>
      </c>
      <c r="B9" s="2">
        <v>231.5</v>
      </c>
      <c r="C9" s="2">
        <v>2.0</v>
      </c>
      <c r="D9" s="2">
        <v>4.76</v>
      </c>
      <c r="E9" s="2">
        <v>0.17</v>
      </c>
      <c r="F9" s="2">
        <v>49.9</v>
      </c>
      <c r="G9" s="3">
        <v>44462.86034413194</v>
      </c>
      <c r="H9" s="5">
        <f>IFERROR(__xludf.DUMMYFUNCTION("SPLIT(G9,"","")"),44462.0)</f>
        <v>44462</v>
      </c>
      <c r="I9" s="6">
        <f>IFERROR(__xludf.DUMMYFUNCTION("""COMPUTED_VALUE"""),0.8603472222222223)</f>
        <v>0.8603472222</v>
      </c>
    </row>
    <row r="10">
      <c r="A10" s="2">
        <v>0.05</v>
      </c>
      <c r="B10" s="2">
        <v>231.5</v>
      </c>
      <c r="C10" s="2">
        <v>2.0</v>
      </c>
      <c r="D10" s="2">
        <v>4.76</v>
      </c>
      <c r="E10" s="2">
        <v>0.16</v>
      </c>
      <c r="F10" s="2">
        <v>49.9</v>
      </c>
      <c r="G10" s="3">
        <v>44462.86044590278</v>
      </c>
      <c r="H10" s="5">
        <f>IFERROR(__xludf.DUMMYFUNCTION("SPLIT(G10,"","")"),44462.0)</f>
        <v>44462</v>
      </c>
      <c r="I10" s="6">
        <f>IFERROR(__xludf.DUMMYFUNCTION("""COMPUTED_VALUE"""),0.8604513888888888)</f>
        <v>0.8604513889</v>
      </c>
    </row>
    <row r="11">
      <c r="A11" s="2">
        <v>0.05</v>
      </c>
      <c r="B11" s="2">
        <v>231.6</v>
      </c>
      <c r="C11" s="2">
        <v>1.9</v>
      </c>
      <c r="D11" s="2">
        <v>4.76</v>
      </c>
      <c r="E11" s="2">
        <v>0.15</v>
      </c>
      <c r="F11" s="2">
        <v>50.0</v>
      </c>
      <c r="G11" s="3">
        <v>44462.86054967593</v>
      </c>
      <c r="H11" s="5">
        <f>IFERROR(__xludf.DUMMYFUNCTION("SPLIT(G11,"","")"),44462.0)</f>
        <v>44462</v>
      </c>
      <c r="I11" s="6">
        <f>IFERROR(__xludf.DUMMYFUNCTION("""COMPUTED_VALUE"""),0.8605439814814815)</f>
        <v>0.8605439815</v>
      </c>
    </row>
    <row r="12">
      <c r="A12" s="2">
        <v>0.05</v>
      </c>
      <c r="B12" s="2">
        <v>231.7</v>
      </c>
      <c r="C12" s="2">
        <v>2.0</v>
      </c>
      <c r="D12" s="2">
        <v>4.76</v>
      </c>
      <c r="E12" s="2">
        <v>0.17</v>
      </c>
      <c r="F12" s="2">
        <v>49.9</v>
      </c>
      <c r="G12" s="3">
        <v>44462.86064950231</v>
      </c>
      <c r="H12" s="5">
        <f>IFERROR(__xludf.DUMMYFUNCTION("SPLIT(G12,"","")"),44462.0)</f>
        <v>44462</v>
      </c>
      <c r="I12" s="6">
        <f>IFERROR(__xludf.DUMMYFUNCTION("""COMPUTED_VALUE"""),0.8606481481481482)</f>
        <v>0.8606481481</v>
      </c>
    </row>
    <row r="13">
      <c r="A13" s="2">
        <v>0.05</v>
      </c>
      <c r="B13" s="2">
        <v>231.8</v>
      </c>
      <c r="C13" s="2">
        <v>2.1</v>
      </c>
      <c r="D13" s="2">
        <v>4.76</v>
      </c>
      <c r="E13" s="2">
        <v>0.17</v>
      </c>
      <c r="F13" s="2">
        <v>49.9</v>
      </c>
      <c r="G13" s="3">
        <v>44462.86075571759</v>
      </c>
      <c r="H13" s="5">
        <f>IFERROR(__xludf.DUMMYFUNCTION("SPLIT(G13,"","")"),44462.0)</f>
        <v>44462</v>
      </c>
      <c r="I13" s="6">
        <f>IFERROR(__xludf.DUMMYFUNCTION("""COMPUTED_VALUE"""),0.8607523148148148)</f>
        <v>0.8607523148</v>
      </c>
    </row>
    <row r="14">
      <c r="A14" s="2">
        <v>0.05</v>
      </c>
      <c r="B14" s="2">
        <v>231.8</v>
      </c>
      <c r="C14" s="2">
        <v>2.0</v>
      </c>
      <c r="D14" s="2">
        <v>4.76</v>
      </c>
      <c r="E14" s="2">
        <v>0.16</v>
      </c>
      <c r="F14" s="2">
        <v>50.0</v>
      </c>
      <c r="G14" s="3">
        <v>44462.86086533565</v>
      </c>
      <c r="H14" s="5">
        <f>IFERROR(__xludf.DUMMYFUNCTION("SPLIT(G14,"","")"),44462.0)</f>
        <v>44462</v>
      </c>
      <c r="I14" s="6">
        <f>IFERROR(__xludf.DUMMYFUNCTION("""COMPUTED_VALUE"""),0.8608680555555556)</f>
        <v>0.8608680556</v>
      </c>
    </row>
    <row r="15">
      <c r="A15" s="2">
        <v>0.05</v>
      </c>
      <c r="B15" s="2">
        <v>232.0</v>
      </c>
      <c r="C15" s="2">
        <v>2.0</v>
      </c>
      <c r="D15" s="2">
        <v>4.76</v>
      </c>
      <c r="E15" s="2">
        <v>0.16</v>
      </c>
      <c r="F15" s="2">
        <v>50.0</v>
      </c>
      <c r="G15" s="3">
        <v>44462.86099055556</v>
      </c>
      <c r="H15" s="5">
        <f>IFERROR(__xludf.DUMMYFUNCTION("SPLIT(G15,"","")"),44462.0)</f>
        <v>44462</v>
      </c>
      <c r="I15" s="6">
        <f>IFERROR(__xludf.DUMMYFUNCTION("""COMPUTED_VALUE"""),0.8609953703703703)</f>
        <v>0.8609953704</v>
      </c>
    </row>
    <row r="16">
      <c r="A16" s="2">
        <v>0.05</v>
      </c>
      <c r="B16" s="2">
        <v>232.0</v>
      </c>
      <c r="C16" s="2">
        <v>2.0</v>
      </c>
      <c r="D16" s="2">
        <v>4.76</v>
      </c>
      <c r="E16" s="2">
        <v>0.16</v>
      </c>
      <c r="F16" s="2">
        <v>50.0</v>
      </c>
      <c r="G16" s="3">
        <v>44462.86108596065</v>
      </c>
      <c r="H16" s="5">
        <f>IFERROR(__xludf.DUMMYFUNCTION("SPLIT(G16,"","")"),44462.0)</f>
        <v>44462</v>
      </c>
      <c r="I16" s="6">
        <f>IFERROR(__xludf.DUMMYFUNCTION("""COMPUTED_VALUE"""),0.861087962962963)</f>
        <v>0.861087963</v>
      </c>
    </row>
    <row r="17">
      <c r="A17" s="2">
        <v>0.05</v>
      </c>
      <c r="B17" s="2">
        <v>232.1</v>
      </c>
      <c r="C17" s="2">
        <v>2.1</v>
      </c>
      <c r="D17" s="2">
        <v>4.76</v>
      </c>
      <c r="E17" s="2">
        <v>0.17</v>
      </c>
      <c r="F17" s="2">
        <v>50.0</v>
      </c>
      <c r="G17" s="3">
        <v>44462.86118435185</v>
      </c>
      <c r="H17" s="5">
        <f>IFERROR(__xludf.DUMMYFUNCTION("SPLIT(G17,"","")"),44462.0)</f>
        <v>44462</v>
      </c>
      <c r="I17" s="6">
        <f>IFERROR(__xludf.DUMMYFUNCTION("""COMPUTED_VALUE"""),0.8611805555555555)</f>
        <v>0.8611805556</v>
      </c>
    </row>
    <row r="18">
      <c r="A18" s="2">
        <v>0.05</v>
      </c>
      <c r="B18" s="2">
        <v>232.1</v>
      </c>
      <c r="C18" s="2">
        <v>1.9</v>
      </c>
      <c r="D18" s="2">
        <v>4.76</v>
      </c>
      <c r="E18" s="2">
        <v>0.16</v>
      </c>
      <c r="F18" s="2">
        <v>50.0</v>
      </c>
      <c r="G18" s="3">
        <v>44462.861284872684</v>
      </c>
      <c r="H18" s="5">
        <f>IFERROR(__xludf.DUMMYFUNCTION("SPLIT(G18,"","")"),44462.0)</f>
        <v>44462</v>
      </c>
      <c r="I18" s="6">
        <f>IFERROR(__xludf.DUMMYFUNCTION("""COMPUTED_VALUE"""),0.8612847222222222)</f>
        <v>0.8612847222</v>
      </c>
    </row>
    <row r="19">
      <c r="A19" s="2">
        <v>0.05</v>
      </c>
      <c r="B19" s="2">
        <v>232.0</v>
      </c>
      <c r="C19" s="2">
        <v>2.0</v>
      </c>
      <c r="D19" s="2">
        <v>4.76</v>
      </c>
      <c r="E19" s="2">
        <v>0.16</v>
      </c>
      <c r="F19" s="2">
        <v>50.0</v>
      </c>
      <c r="G19" s="3">
        <v>44462.861393495376</v>
      </c>
      <c r="H19" s="5">
        <f>IFERROR(__xludf.DUMMYFUNCTION("SPLIT(G19,"","")"),44462.0)</f>
        <v>44462</v>
      </c>
      <c r="I19" s="6">
        <f>IFERROR(__xludf.DUMMYFUNCTION("""COMPUTED_VALUE"""),0.8613888888888889)</f>
        <v>0.8613888889</v>
      </c>
    </row>
    <row r="20">
      <c r="A20" s="2">
        <v>0.05</v>
      </c>
      <c r="B20" s="2">
        <v>231.7</v>
      </c>
      <c r="C20" s="2">
        <v>1.9</v>
      </c>
      <c r="D20" s="2">
        <v>4.76</v>
      </c>
      <c r="E20" s="2">
        <v>0.16</v>
      </c>
      <c r="F20" s="2">
        <v>50.0</v>
      </c>
      <c r="G20" s="3">
        <v>44462.86149760417</v>
      </c>
      <c r="H20" s="5">
        <f>IFERROR(__xludf.DUMMYFUNCTION("SPLIT(G20,"","")"),44462.0)</f>
        <v>44462</v>
      </c>
      <c r="I20" s="6">
        <f>IFERROR(__xludf.DUMMYFUNCTION("""COMPUTED_VALUE"""),0.8614930555555556)</f>
        <v>0.8614930556</v>
      </c>
    </row>
    <row r="21">
      <c r="A21" s="2">
        <v>4.76</v>
      </c>
      <c r="B21" s="2">
        <v>229.4</v>
      </c>
      <c r="C21" s="2">
        <v>702.4</v>
      </c>
      <c r="D21" s="2">
        <v>4.76</v>
      </c>
      <c r="E21" s="2">
        <v>0.64</v>
      </c>
      <c r="F21" s="2">
        <v>50.0</v>
      </c>
      <c r="G21" s="3">
        <v>44462.861598877316</v>
      </c>
      <c r="H21" s="5">
        <f>IFERROR(__xludf.DUMMYFUNCTION("SPLIT(G21,"","")"),44462.0)</f>
        <v>44462</v>
      </c>
      <c r="I21" s="6">
        <f>IFERROR(__xludf.DUMMYFUNCTION("""COMPUTED_VALUE"""),0.8615972222222222)</f>
        <v>0.8615972222</v>
      </c>
    </row>
    <row r="22">
      <c r="A22" s="2">
        <v>5.21</v>
      </c>
      <c r="B22" s="2">
        <v>229.0</v>
      </c>
      <c r="C22" s="2">
        <v>777.3</v>
      </c>
      <c r="D22" s="2">
        <v>4.76</v>
      </c>
      <c r="E22" s="2">
        <v>0.65</v>
      </c>
      <c r="F22" s="2">
        <v>49.9</v>
      </c>
      <c r="G22" s="3">
        <v>44462.861703703704</v>
      </c>
      <c r="H22" s="5">
        <f>IFERROR(__xludf.DUMMYFUNCTION("SPLIT(G22,"","")"),44462.0)</f>
        <v>44462</v>
      </c>
      <c r="I22" s="6">
        <f>IFERROR(__xludf.DUMMYFUNCTION("""COMPUTED_VALUE"""),0.8617013888888889)</f>
        <v>0.8617013889</v>
      </c>
    </row>
    <row r="23">
      <c r="A23" s="2">
        <v>5.21</v>
      </c>
      <c r="B23" s="2">
        <v>229.0</v>
      </c>
      <c r="C23" s="2">
        <v>777.6</v>
      </c>
      <c r="D23" s="2">
        <v>4.76</v>
      </c>
      <c r="E23" s="2">
        <v>0.65</v>
      </c>
      <c r="F23" s="2">
        <v>49.9</v>
      </c>
      <c r="G23" s="3">
        <v>44462.861801122686</v>
      </c>
      <c r="H23" s="5">
        <f>IFERROR(__xludf.DUMMYFUNCTION("SPLIT(G23,"","")"),44462.0)</f>
        <v>44462</v>
      </c>
      <c r="I23" s="6">
        <f>IFERROR(__xludf.DUMMYFUNCTION("""COMPUTED_VALUE"""),0.8618055555555556)</f>
        <v>0.8618055556</v>
      </c>
    </row>
    <row r="24">
      <c r="A24" s="2">
        <v>5.21</v>
      </c>
      <c r="B24" s="2">
        <v>229.1</v>
      </c>
      <c r="C24" s="2">
        <v>777.6</v>
      </c>
      <c r="D24" s="2">
        <v>4.76</v>
      </c>
      <c r="E24" s="2">
        <v>0.65</v>
      </c>
      <c r="F24" s="2">
        <v>49.9</v>
      </c>
      <c r="G24" s="3">
        <v>44462.86189864583</v>
      </c>
      <c r="H24" s="5">
        <f>IFERROR(__xludf.DUMMYFUNCTION("SPLIT(G24,"","")"),44462.0)</f>
        <v>44462</v>
      </c>
      <c r="I24" s="6">
        <f>IFERROR(__xludf.DUMMYFUNCTION("""COMPUTED_VALUE"""),0.8618981481481481)</f>
        <v>0.8618981481</v>
      </c>
    </row>
    <row r="25">
      <c r="A25" s="2">
        <v>5.21</v>
      </c>
      <c r="B25" s="2">
        <v>229.1</v>
      </c>
      <c r="C25" s="2">
        <v>777.8</v>
      </c>
      <c r="D25" s="2">
        <v>4.76</v>
      </c>
      <c r="E25" s="2">
        <v>0.65</v>
      </c>
      <c r="F25" s="2">
        <v>49.9</v>
      </c>
      <c r="G25" s="3">
        <v>44462.8620009838</v>
      </c>
      <c r="H25" s="5">
        <f>IFERROR(__xludf.DUMMYFUNCTION("SPLIT(G25,"","")"),44462.0)</f>
        <v>44462</v>
      </c>
      <c r="I25" s="6">
        <f>IFERROR(__xludf.DUMMYFUNCTION("""COMPUTED_VALUE"""),0.8620023148148148)</f>
        <v>0.8620023148</v>
      </c>
    </row>
    <row r="26">
      <c r="A26" s="2">
        <v>5.2</v>
      </c>
      <c r="B26" s="2">
        <v>229.0</v>
      </c>
      <c r="C26" s="2">
        <v>777.8</v>
      </c>
      <c r="D26" s="2">
        <v>4.77</v>
      </c>
      <c r="E26" s="2">
        <v>0.65</v>
      </c>
      <c r="F26" s="2">
        <v>50.0</v>
      </c>
      <c r="G26" s="3">
        <v>44462.86210236111</v>
      </c>
      <c r="H26" s="5">
        <f>IFERROR(__xludf.DUMMYFUNCTION("SPLIT(G26,"","")"),44462.0)</f>
        <v>44462</v>
      </c>
      <c r="I26" s="6">
        <f>IFERROR(__xludf.DUMMYFUNCTION("""COMPUTED_VALUE"""),0.8621064814814815)</f>
        <v>0.8621064815</v>
      </c>
    </row>
    <row r="27">
      <c r="A27" s="2">
        <v>5.21</v>
      </c>
      <c r="B27" s="2">
        <v>229.1</v>
      </c>
      <c r="C27" s="2">
        <v>777.9</v>
      </c>
      <c r="D27" s="2">
        <v>4.77</v>
      </c>
      <c r="E27" s="2">
        <v>0.65</v>
      </c>
      <c r="F27" s="2">
        <v>50.0</v>
      </c>
      <c r="G27" s="3">
        <v>44462.862215416666</v>
      </c>
      <c r="H27" s="5">
        <f>IFERROR(__xludf.DUMMYFUNCTION("SPLIT(G27,"","")"),44462.0)</f>
        <v>44462</v>
      </c>
      <c r="I27" s="6">
        <f>IFERROR(__xludf.DUMMYFUNCTION("""COMPUTED_VALUE"""),0.8622106481481482)</f>
        <v>0.8622106481</v>
      </c>
    </row>
    <row r="28">
      <c r="A28" s="2">
        <v>5.21</v>
      </c>
      <c r="B28" s="2">
        <v>229.2</v>
      </c>
      <c r="C28" s="2">
        <v>778.1</v>
      </c>
      <c r="D28" s="2">
        <v>4.77</v>
      </c>
      <c r="E28" s="2">
        <v>0.65</v>
      </c>
      <c r="F28" s="2">
        <v>50.0</v>
      </c>
      <c r="G28" s="3">
        <v>44462.86232478009</v>
      </c>
      <c r="H28" s="5">
        <f>IFERROR(__xludf.DUMMYFUNCTION("SPLIT(G28,"","")"),44462.0)</f>
        <v>44462</v>
      </c>
      <c r="I28" s="6">
        <f>IFERROR(__xludf.DUMMYFUNCTION("""COMPUTED_VALUE"""),0.8623263888888889)</f>
        <v>0.8623263889</v>
      </c>
    </row>
    <row r="29">
      <c r="A29" s="2">
        <v>5.2</v>
      </c>
      <c r="B29" s="2">
        <v>229.3</v>
      </c>
      <c r="C29" s="2">
        <v>778.2</v>
      </c>
      <c r="D29" s="2">
        <v>4.77</v>
      </c>
      <c r="E29" s="2">
        <v>0.65</v>
      </c>
      <c r="F29" s="2">
        <v>50.0</v>
      </c>
      <c r="G29" s="3">
        <v>44462.862424293984</v>
      </c>
      <c r="H29" s="5">
        <f>IFERROR(__xludf.DUMMYFUNCTION("SPLIT(G29,"","")"),44462.0)</f>
        <v>44462</v>
      </c>
      <c r="I29" s="6">
        <f>IFERROR(__xludf.DUMMYFUNCTION("""COMPUTED_VALUE"""),0.8624189814814814)</f>
        <v>0.8624189815</v>
      </c>
    </row>
    <row r="30">
      <c r="A30" s="2">
        <v>5.21</v>
      </c>
      <c r="B30" s="2">
        <v>229.3</v>
      </c>
      <c r="C30" s="2">
        <v>778.4</v>
      </c>
      <c r="D30" s="2">
        <v>4.78</v>
      </c>
      <c r="E30" s="2">
        <v>0.65</v>
      </c>
      <c r="F30" s="2">
        <v>50.0</v>
      </c>
      <c r="G30" s="3">
        <v>44462.86252793981</v>
      </c>
      <c r="H30" s="5">
        <f>IFERROR(__xludf.DUMMYFUNCTION("SPLIT(G30,"","")"),44462.0)</f>
        <v>44462</v>
      </c>
      <c r="I30" s="6">
        <f>IFERROR(__xludf.DUMMYFUNCTION("""COMPUTED_VALUE"""),0.8625231481481481)</f>
        <v>0.8625231481</v>
      </c>
    </row>
    <row r="31">
      <c r="A31" s="2">
        <v>5.21</v>
      </c>
      <c r="B31" s="2">
        <v>229.3</v>
      </c>
      <c r="C31" s="2">
        <v>778.6</v>
      </c>
      <c r="D31" s="2">
        <v>4.78</v>
      </c>
      <c r="E31" s="2">
        <v>0.65</v>
      </c>
      <c r="F31" s="2">
        <v>50.0</v>
      </c>
      <c r="G31" s="3">
        <v>44462.86263077546</v>
      </c>
      <c r="H31" s="5">
        <f>IFERROR(__xludf.DUMMYFUNCTION("SPLIT(G31,"","")"),44462.0)</f>
        <v>44462</v>
      </c>
      <c r="I31" s="6">
        <f>IFERROR(__xludf.DUMMYFUNCTION("""COMPUTED_VALUE"""),0.8626273148148148)</f>
        <v>0.8626273148</v>
      </c>
    </row>
    <row r="32">
      <c r="A32" s="2">
        <v>5.21</v>
      </c>
      <c r="B32" s="2">
        <v>229.3</v>
      </c>
      <c r="C32" s="2">
        <v>778.7</v>
      </c>
      <c r="D32" s="2">
        <v>4.78</v>
      </c>
      <c r="E32" s="2">
        <v>0.65</v>
      </c>
      <c r="F32" s="2">
        <v>50.0</v>
      </c>
      <c r="G32" s="3">
        <v>44462.86273171296</v>
      </c>
      <c r="H32" s="5">
        <f>IFERROR(__xludf.DUMMYFUNCTION("SPLIT(G32,"","")"),44462.0)</f>
        <v>44462</v>
      </c>
      <c r="I32" s="6">
        <f>IFERROR(__xludf.DUMMYFUNCTION("""COMPUTED_VALUE"""),0.8627314814814815)</f>
        <v>0.8627314815</v>
      </c>
    </row>
    <row r="33">
      <c r="A33" s="2">
        <v>5.22</v>
      </c>
      <c r="B33" s="2">
        <v>228.5</v>
      </c>
      <c r="C33" s="2">
        <v>778.9</v>
      </c>
      <c r="D33" s="2">
        <v>4.78</v>
      </c>
      <c r="E33" s="2">
        <v>0.65</v>
      </c>
      <c r="F33" s="2">
        <v>50.0</v>
      </c>
      <c r="G33" s="3">
        <v>44462.862832812505</v>
      </c>
      <c r="H33" s="5">
        <f>IFERROR(__xludf.DUMMYFUNCTION("SPLIT(G33,"","")"),44462.0)</f>
        <v>44462</v>
      </c>
      <c r="I33" s="6">
        <f>IFERROR(__xludf.DUMMYFUNCTION("""COMPUTED_VALUE"""),0.8628356481481482)</f>
        <v>0.8628356481</v>
      </c>
    </row>
    <row r="34">
      <c r="A34" s="2">
        <v>5.22</v>
      </c>
      <c r="B34" s="2">
        <v>229.1</v>
      </c>
      <c r="C34" s="2">
        <v>779.0</v>
      </c>
      <c r="D34" s="2">
        <v>4.78</v>
      </c>
      <c r="E34" s="2">
        <v>0.65</v>
      </c>
      <c r="F34" s="2">
        <v>50.0</v>
      </c>
      <c r="G34" s="3">
        <v>44462.862932199074</v>
      </c>
      <c r="H34" s="5">
        <f>IFERROR(__xludf.DUMMYFUNCTION("SPLIT(G34,"","")"),44462.0)</f>
        <v>44462</v>
      </c>
      <c r="I34" s="6">
        <f>IFERROR(__xludf.DUMMYFUNCTION("""COMPUTED_VALUE"""),0.8629282407407407)</f>
        <v>0.8629282407</v>
      </c>
    </row>
    <row r="35">
      <c r="A35" s="2">
        <v>5.22</v>
      </c>
      <c r="B35" s="2">
        <v>229.0</v>
      </c>
      <c r="C35" s="2">
        <v>779.3</v>
      </c>
      <c r="D35" s="2">
        <v>4.78</v>
      </c>
      <c r="E35" s="2">
        <v>0.65</v>
      </c>
      <c r="F35" s="2">
        <v>50.0</v>
      </c>
      <c r="G35" s="3">
        <v>44462.86303533565</v>
      </c>
      <c r="H35" s="5">
        <f>IFERROR(__xludf.DUMMYFUNCTION("SPLIT(G35,"","")"),44462.0)</f>
        <v>44462</v>
      </c>
      <c r="I35" s="6">
        <f>IFERROR(__xludf.DUMMYFUNCTION("""COMPUTED_VALUE"""),0.8630324074074074)</f>
        <v>0.8630324074</v>
      </c>
    </row>
    <row r="36">
      <c r="A36" s="2">
        <v>5.23</v>
      </c>
      <c r="B36" s="2">
        <v>228.9</v>
      </c>
      <c r="C36" s="2">
        <v>779.5</v>
      </c>
      <c r="D36" s="2">
        <v>4.79</v>
      </c>
      <c r="E36" s="2">
        <v>0.65</v>
      </c>
      <c r="F36" s="2">
        <v>50.0</v>
      </c>
      <c r="G36" s="3">
        <v>44462.86313478009</v>
      </c>
      <c r="H36" s="5">
        <f>IFERROR(__xludf.DUMMYFUNCTION("SPLIT(G36,"","")"),44462.0)</f>
        <v>44462</v>
      </c>
      <c r="I36" s="6">
        <f>IFERROR(__xludf.DUMMYFUNCTION("""COMPUTED_VALUE"""),0.8631365740740741)</f>
        <v>0.8631365741</v>
      </c>
    </row>
    <row r="37">
      <c r="A37" s="2">
        <v>5.21</v>
      </c>
      <c r="B37" s="2">
        <v>229.2</v>
      </c>
      <c r="C37" s="2">
        <v>779.7</v>
      </c>
      <c r="D37" s="2">
        <v>4.79</v>
      </c>
      <c r="E37" s="2">
        <v>0.65</v>
      </c>
      <c r="F37" s="2">
        <v>49.9</v>
      </c>
      <c r="G37" s="3">
        <v>44462.863230462965</v>
      </c>
      <c r="H37" s="5">
        <f>IFERROR(__xludf.DUMMYFUNCTION("SPLIT(G37,"","")"),44462.0)</f>
        <v>44462</v>
      </c>
      <c r="I37" s="6">
        <f>IFERROR(__xludf.DUMMYFUNCTION("""COMPUTED_VALUE"""),0.8632291666666667)</f>
        <v>0.8632291667</v>
      </c>
    </row>
    <row r="38">
      <c r="A38" s="2">
        <v>5.2</v>
      </c>
      <c r="B38" s="2">
        <v>229.3</v>
      </c>
      <c r="C38" s="2">
        <v>779.9</v>
      </c>
      <c r="D38" s="2">
        <v>4.79</v>
      </c>
      <c r="E38" s="2">
        <v>0.65</v>
      </c>
      <c r="F38" s="2">
        <v>49.9</v>
      </c>
      <c r="G38" s="3">
        <v>44462.863326736115</v>
      </c>
      <c r="H38" s="5">
        <f>IFERROR(__xludf.DUMMYFUNCTION("SPLIT(G38,"","")"),44462.0)</f>
        <v>44462</v>
      </c>
      <c r="I38" s="6">
        <f>IFERROR(__xludf.DUMMYFUNCTION("""COMPUTED_VALUE"""),0.8633217592592592)</f>
        <v>0.8633217593</v>
      </c>
    </row>
    <row r="39">
      <c r="A39" s="2">
        <v>5.21</v>
      </c>
      <c r="B39" s="2">
        <v>229.4</v>
      </c>
      <c r="C39" s="2">
        <v>780.1</v>
      </c>
      <c r="D39" s="2">
        <v>4.79</v>
      </c>
      <c r="E39" s="2">
        <v>0.65</v>
      </c>
      <c r="F39" s="2">
        <v>50.0</v>
      </c>
      <c r="G39" s="3">
        <v>44462.86342324074</v>
      </c>
      <c r="H39" s="5">
        <f>IFERROR(__xludf.DUMMYFUNCTION("SPLIT(G39,"","")"),44462.0)</f>
        <v>44462</v>
      </c>
      <c r="I39" s="6">
        <f>IFERROR(__xludf.DUMMYFUNCTION("""COMPUTED_VALUE"""),0.8634259259259259)</f>
        <v>0.8634259259</v>
      </c>
    </row>
    <row r="40">
      <c r="A40" s="2">
        <v>5.21</v>
      </c>
      <c r="B40" s="2">
        <v>229.4</v>
      </c>
      <c r="C40" s="2">
        <v>780.4</v>
      </c>
      <c r="D40" s="2">
        <v>4.79</v>
      </c>
      <c r="E40" s="2">
        <v>0.65</v>
      </c>
      <c r="F40" s="2">
        <v>50.0</v>
      </c>
      <c r="G40" s="3">
        <v>44462.863520960644</v>
      </c>
      <c r="H40" s="5">
        <f>IFERROR(__xludf.DUMMYFUNCTION("SPLIT(G40,"","")"),44462.0)</f>
        <v>44462</v>
      </c>
      <c r="I40" s="6">
        <f>IFERROR(__xludf.DUMMYFUNCTION("""COMPUTED_VALUE"""),0.8635185185185185)</f>
        <v>0.8635185185</v>
      </c>
    </row>
    <row r="41">
      <c r="A41" s="2">
        <v>5.21</v>
      </c>
      <c r="B41" s="2">
        <v>229.4</v>
      </c>
      <c r="C41" s="2">
        <v>780.6</v>
      </c>
      <c r="D41" s="2">
        <v>4.8</v>
      </c>
      <c r="E41" s="2">
        <v>0.65</v>
      </c>
      <c r="F41" s="2">
        <v>50.0</v>
      </c>
      <c r="G41" s="3">
        <v>44462.863620578704</v>
      </c>
      <c r="H41" s="5">
        <f>IFERROR(__xludf.DUMMYFUNCTION("SPLIT(G41,"","")"),44462.0)</f>
        <v>44462</v>
      </c>
      <c r="I41" s="6">
        <f>IFERROR(__xludf.DUMMYFUNCTION("""COMPUTED_VALUE"""),0.8636226851851851)</f>
        <v>0.8636226852</v>
      </c>
    </row>
    <row r="42">
      <c r="A42" s="2">
        <v>5.21</v>
      </c>
      <c r="B42" s="2">
        <v>229.5</v>
      </c>
      <c r="C42" s="2">
        <v>780.9</v>
      </c>
      <c r="D42" s="2">
        <v>4.8</v>
      </c>
      <c r="E42" s="2">
        <v>0.65</v>
      </c>
      <c r="F42" s="2">
        <v>50.0</v>
      </c>
      <c r="G42" s="3">
        <v>44462.86372502315</v>
      </c>
      <c r="H42" s="5">
        <f>IFERROR(__xludf.DUMMYFUNCTION("SPLIT(G42,"","")"),44462.0)</f>
        <v>44462</v>
      </c>
      <c r="I42" s="6">
        <f>IFERROR(__xludf.DUMMYFUNCTION("""COMPUTED_VALUE"""),0.8637268518518518)</f>
        <v>0.8637268519</v>
      </c>
    </row>
    <row r="43">
      <c r="A43" s="2">
        <v>5.22</v>
      </c>
      <c r="B43" s="2">
        <v>229.5</v>
      </c>
      <c r="C43" s="2">
        <v>781.0</v>
      </c>
      <c r="D43" s="2">
        <v>4.8</v>
      </c>
      <c r="E43" s="2">
        <v>0.65</v>
      </c>
      <c r="F43" s="2">
        <v>50.0</v>
      </c>
      <c r="G43" s="3">
        <v>44462.863828437505</v>
      </c>
      <c r="H43" s="5">
        <f>IFERROR(__xludf.DUMMYFUNCTION("SPLIT(G43,"","")"),44462.0)</f>
        <v>44462</v>
      </c>
      <c r="I43" s="6">
        <f>IFERROR(__xludf.DUMMYFUNCTION("""COMPUTED_VALUE"""),0.8638310185185185)</f>
        <v>0.8638310185</v>
      </c>
    </row>
    <row r="44">
      <c r="A44" s="2">
        <v>5.22</v>
      </c>
      <c r="B44" s="2">
        <v>229.5</v>
      </c>
      <c r="C44" s="2">
        <v>781.3</v>
      </c>
      <c r="D44" s="2">
        <v>4.8</v>
      </c>
      <c r="E44" s="2">
        <v>0.65</v>
      </c>
      <c r="F44" s="2">
        <v>50.0</v>
      </c>
      <c r="G44" s="3">
        <v>44462.86395802083</v>
      </c>
      <c r="H44" s="5">
        <f>IFERROR(__xludf.DUMMYFUNCTION("SPLIT(G44,"","")"),44462.0)</f>
        <v>44462</v>
      </c>
      <c r="I44" s="6">
        <f>IFERROR(__xludf.DUMMYFUNCTION("""COMPUTED_VALUE"""),0.8639583333333334)</f>
        <v>0.8639583333</v>
      </c>
    </row>
    <row r="45">
      <c r="A45" s="2">
        <v>5.18</v>
      </c>
      <c r="B45" s="2">
        <v>230.2</v>
      </c>
      <c r="C45" s="2">
        <v>781.6</v>
      </c>
      <c r="D45" s="2">
        <v>4.8</v>
      </c>
      <c r="E45" s="2">
        <v>0.66</v>
      </c>
      <c r="F45" s="2">
        <v>50.0</v>
      </c>
      <c r="G45" s="3">
        <v>44462.864057557876</v>
      </c>
      <c r="H45" s="5">
        <f>IFERROR(__xludf.DUMMYFUNCTION("SPLIT(G45,"","")"),44462.0)</f>
        <v>44462</v>
      </c>
      <c r="I45" s="6">
        <f>IFERROR(__xludf.DUMMYFUNCTION("""COMPUTED_VALUE"""),0.8640625)</f>
        <v>0.8640625</v>
      </c>
    </row>
    <row r="46">
      <c r="A46" s="2">
        <v>5.18</v>
      </c>
      <c r="B46" s="2">
        <v>230.2</v>
      </c>
      <c r="C46" s="2">
        <v>781.7</v>
      </c>
      <c r="D46" s="2">
        <v>4.8</v>
      </c>
      <c r="E46" s="2">
        <v>0.66</v>
      </c>
      <c r="F46" s="2">
        <v>50.0</v>
      </c>
      <c r="G46" s="3">
        <v>44462.864155069445</v>
      </c>
      <c r="H46" s="5">
        <f>IFERROR(__xludf.DUMMYFUNCTION("SPLIT(G46,"","")"),44462.0)</f>
        <v>44462</v>
      </c>
      <c r="I46" s="6">
        <f>IFERROR(__xludf.DUMMYFUNCTION("""COMPUTED_VALUE"""),0.8641550925925926)</f>
        <v>0.8641550926</v>
      </c>
    </row>
    <row r="47">
      <c r="A47" s="2">
        <v>5.19</v>
      </c>
      <c r="B47" s="2">
        <v>230.1</v>
      </c>
      <c r="C47" s="2">
        <v>782.0</v>
      </c>
      <c r="D47" s="2">
        <v>4.81</v>
      </c>
      <c r="E47" s="2">
        <v>0.65</v>
      </c>
      <c r="F47" s="2">
        <v>50.0</v>
      </c>
      <c r="G47" s="3">
        <v>44462.86425270833</v>
      </c>
      <c r="H47" s="5">
        <f>IFERROR(__xludf.DUMMYFUNCTION("SPLIT(G47,"","")"),44462.0)</f>
        <v>44462</v>
      </c>
      <c r="I47" s="6">
        <f>IFERROR(__xludf.DUMMYFUNCTION("""COMPUTED_VALUE"""),0.8642476851851851)</f>
        <v>0.8642476852</v>
      </c>
    </row>
    <row r="48">
      <c r="A48" s="2">
        <v>5.2</v>
      </c>
      <c r="B48" s="2">
        <v>230.0</v>
      </c>
      <c r="C48" s="2">
        <v>782.1</v>
      </c>
      <c r="D48" s="2">
        <v>4.81</v>
      </c>
      <c r="E48" s="2">
        <v>0.65</v>
      </c>
      <c r="F48" s="2">
        <v>50.0</v>
      </c>
      <c r="G48" s="3">
        <v>44462.864354641206</v>
      </c>
      <c r="H48" s="5">
        <f>IFERROR(__xludf.DUMMYFUNCTION("SPLIT(G48,"","")"),44462.0)</f>
        <v>44462</v>
      </c>
      <c r="I48" s="6">
        <f>IFERROR(__xludf.DUMMYFUNCTION("""COMPUTED_VALUE"""),0.8643518518518518)</f>
        <v>0.8643518519</v>
      </c>
    </row>
    <row r="49">
      <c r="A49" s="2">
        <v>5.19</v>
      </c>
      <c r="B49" s="2">
        <v>230.0</v>
      </c>
      <c r="C49" s="2">
        <v>782.3</v>
      </c>
      <c r="D49" s="2">
        <v>4.81</v>
      </c>
      <c r="E49" s="2">
        <v>0.65</v>
      </c>
      <c r="F49" s="2">
        <v>50.0</v>
      </c>
      <c r="G49" s="3">
        <v>44462.86445253472</v>
      </c>
      <c r="H49" s="5">
        <f>IFERROR(__xludf.DUMMYFUNCTION("SPLIT(G49,"","")"),44462.0)</f>
        <v>44462</v>
      </c>
      <c r="I49" s="6">
        <f>IFERROR(__xludf.DUMMYFUNCTION("""COMPUTED_VALUE"""),0.8644560185185185)</f>
        <v>0.8644560185</v>
      </c>
    </row>
    <row r="50">
      <c r="A50" s="2">
        <v>5.19</v>
      </c>
      <c r="B50" s="2">
        <v>230.0</v>
      </c>
      <c r="C50" s="2">
        <v>782.5</v>
      </c>
      <c r="D50" s="2">
        <v>4.81</v>
      </c>
      <c r="E50" s="2">
        <v>0.66</v>
      </c>
      <c r="F50" s="2">
        <v>50.0</v>
      </c>
      <c r="G50" s="3">
        <v>44462.86455399306</v>
      </c>
      <c r="H50" s="5">
        <f>IFERROR(__xludf.DUMMYFUNCTION("SPLIT(G50,"","")"),44462.0)</f>
        <v>44462</v>
      </c>
      <c r="I50" s="6">
        <f>IFERROR(__xludf.DUMMYFUNCTION("""COMPUTED_VALUE"""),0.8645486111111111)</f>
        <v>0.8645486111</v>
      </c>
    </row>
    <row r="51">
      <c r="A51" s="2">
        <v>5.19</v>
      </c>
      <c r="B51" s="2">
        <v>230.0</v>
      </c>
      <c r="C51" s="2">
        <v>782.8</v>
      </c>
      <c r="D51" s="2">
        <v>4.81</v>
      </c>
      <c r="E51" s="2">
        <v>0.66</v>
      </c>
      <c r="F51" s="2">
        <v>50.0</v>
      </c>
      <c r="G51" s="3">
        <v>44462.86465643518</v>
      </c>
      <c r="H51" s="5">
        <f>IFERROR(__xludf.DUMMYFUNCTION("SPLIT(G51,"","")"),44462.0)</f>
        <v>44462</v>
      </c>
      <c r="I51" s="6">
        <f>IFERROR(__xludf.DUMMYFUNCTION("""COMPUTED_VALUE"""),0.8646527777777778)</f>
        <v>0.8646527778</v>
      </c>
    </row>
    <row r="52">
      <c r="A52" s="2">
        <v>5.19</v>
      </c>
      <c r="B52" s="2">
        <v>230.1</v>
      </c>
      <c r="C52" s="2">
        <v>783.0</v>
      </c>
      <c r="D52" s="2">
        <v>4.82</v>
      </c>
      <c r="E52" s="2">
        <v>0.66</v>
      </c>
      <c r="F52" s="2">
        <v>50.0</v>
      </c>
      <c r="G52" s="3">
        <v>44462.86475763889</v>
      </c>
      <c r="H52" s="5">
        <f>IFERROR(__xludf.DUMMYFUNCTION("SPLIT(G52,"","")"),44462.0)</f>
        <v>44462</v>
      </c>
      <c r="I52" s="6">
        <f>IFERROR(__xludf.DUMMYFUNCTION("""COMPUTED_VALUE"""),0.8647569444444444)</f>
        <v>0.8647569444</v>
      </c>
    </row>
    <row r="53">
      <c r="A53" s="2">
        <v>5.19</v>
      </c>
      <c r="B53" s="2">
        <v>230.0</v>
      </c>
      <c r="C53" s="2">
        <v>783.2</v>
      </c>
      <c r="D53" s="2">
        <v>4.82</v>
      </c>
      <c r="E53" s="2">
        <v>0.66</v>
      </c>
      <c r="F53" s="2">
        <v>50.0</v>
      </c>
      <c r="G53" s="3">
        <v>44462.86488706019</v>
      </c>
      <c r="H53" s="5">
        <f>IFERROR(__xludf.DUMMYFUNCTION("SPLIT(G53,"","")"),44462.0)</f>
        <v>44462</v>
      </c>
      <c r="I53" s="6">
        <f>IFERROR(__xludf.DUMMYFUNCTION("""COMPUTED_VALUE"""),0.8648842592592593)</f>
        <v>0.8648842593</v>
      </c>
    </row>
    <row r="54">
      <c r="A54" s="2">
        <v>5.2</v>
      </c>
      <c r="B54" s="2">
        <v>229.9</v>
      </c>
      <c r="C54" s="2">
        <v>783.4</v>
      </c>
      <c r="D54" s="2">
        <v>4.82</v>
      </c>
      <c r="E54" s="2">
        <v>0.66</v>
      </c>
      <c r="F54" s="2">
        <v>50.0</v>
      </c>
      <c r="G54" s="3">
        <v>44462.86499071759</v>
      </c>
      <c r="H54" s="5">
        <f>IFERROR(__xludf.DUMMYFUNCTION("SPLIT(G54,"","")"),44462.0)</f>
        <v>44462</v>
      </c>
      <c r="I54" s="6">
        <f>IFERROR(__xludf.DUMMYFUNCTION("""COMPUTED_VALUE"""),0.864988425925926)</f>
        <v>0.8649884259</v>
      </c>
    </row>
    <row r="55">
      <c r="A55" s="2">
        <v>5.19</v>
      </c>
      <c r="B55" s="2">
        <v>229.8</v>
      </c>
      <c r="C55" s="2">
        <v>783.6</v>
      </c>
      <c r="D55" s="2">
        <v>4.82</v>
      </c>
      <c r="E55" s="2">
        <v>0.66</v>
      </c>
      <c r="F55" s="2">
        <v>49.9</v>
      </c>
      <c r="G55" s="3">
        <v>44462.865088148144</v>
      </c>
      <c r="H55" s="5">
        <f>IFERROR(__xludf.DUMMYFUNCTION("SPLIT(G55,"","")"),44462.0)</f>
        <v>44462</v>
      </c>
      <c r="I55" s="6">
        <f>IFERROR(__xludf.DUMMYFUNCTION("""COMPUTED_VALUE"""),0.8650925925925926)</f>
        <v>0.8650925926</v>
      </c>
    </row>
    <row r="56">
      <c r="A56" s="2">
        <v>5.19</v>
      </c>
      <c r="B56" s="2">
        <v>229.8</v>
      </c>
      <c r="C56" s="2">
        <v>783.8</v>
      </c>
      <c r="D56" s="2">
        <v>4.82</v>
      </c>
      <c r="E56" s="2">
        <v>0.66</v>
      </c>
      <c r="F56" s="2">
        <v>49.9</v>
      </c>
      <c r="G56" s="3">
        <v>44462.865188703705</v>
      </c>
      <c r="H56" s="5">
        <f>IFERROR(__xludf.DUMMYFUNCTION("SPLIT(G56,"","")"),44462.0)</f>
        <v>44462</v>
      </c>
      <c r="I56" s="6">
        <f>IFERROR(__xludf.DUMMYFUNCTION("""COMPUTED_VALUE"""),0.8651851851851852)</f>
        <v>0.8651851852</v>
      </c>
    </row>
    <row r="57">
      <c r="A57" s="2">
        <v>5.2</v>
      </c>
      <c r="B57" s="2">
        <v>229.7</v>
      </c>
      <c r="C57" s="2">
        <v>783.9</v>
      </c>
      <c r="D57" s="2">
        <v>4.83</v>
      </c>
      <c r="E57" s="2">
        <v>0.66</v>
      </c>
      <c r="F57" s="2">
        <v>49.9</v>
      </c>
      <c r="G57" s="3">
        <v>44462.86528899305</v>
      </c>
      <c r="H57" s="5">
        <f>IFERROR(__xludf.DUMMYFUNCTION("SPLIT(G57,"","")"),44462.0)</f>
        <v>44462</v>
      </c>
      <c r="I57" s="6">
        <f>IFERROR(__xludf.DUMMYFUNCTION("""COMPUTED_VALUE"""),0.8652893518518519)</f>
        <v>0.8652893519</v>
      </c>
    </row>
    <row r="58">
      <c r="A58" s="2">
        <v>5.2</v>
      </c>
      <c r="B58" s="2">
        <v>229.8</v>
      </c>
      <c r="C58" s="2">
        <v>784.1</v>
      </c>
      <c r="D58" s="2">
        <v>4.83</v>
      </c>
      <c r="E58" s="2">
        <v>0.66</v>
      </c>
      <c r="F58" s="2">
        <v>49.9</v>
      </c>
      <c r="G58" s="3">
        <v>44462.86539112269</v>
      </c>
      <c r="H58" s="5">
        <f>IFERROR(__xludf.DUMMYFUNCTION("SPLIT(G58,"","")"),44462.0)</f>
        <v>44462</v>
      </c>
      <c r="I58" s="6">
        <f>IFERROR(__xludf.DUMMYFUNCTION("""COMPUTED_VALUE"""),0.8653935185185185)</f>
        <v>0.8653935185</v>
      </c>
    </row>
    <row r="59">
      <c r="A59" s="2">
        <v>5.19</v>
      </c>
      <c r="B59" s="2">
        <v>230.1</v>
      </c>
      <c r="C59" s="2">
        <v>784.8</v>
      </c>
      <c r="D59" s="2">
        <v>4.83</v>
      </c>
      <c r="E59" s="2">
        <v>0.66</v>
      </c>
      <c r="F59" s="2">
        <v>50.0</v>
      </c>
      <c r="G59" s="3">
        <v>44462.86581642361</v>
      </c>
      <c r="H59" s="5">
        <f>IFERROR(__xludf.DUMMYFUNCTION("SPLIT(G59,"","")"),44462.0)</f>
        <v>44462</v>
      </c>
      <c r="I59" s="6">
        <f>IFERROR(__xludf.DUMMYFUNCTION("""COMPUTED_VALUE"""),0.8658217592592593)</f>
        <v>0.8658217593</v>
      </c>
    </row>
    <row r="60">
      <c r="A60" s="2">
        <v>5.19</v>
      </c>
      <c r="B60" s="2">
        <v>230.1</v>
      </c>
      <c r="C60" s="2">
        <v>785.1</v>
      </c>
      <c r="D60" s="2">
        <v>4.84</v>
      </c>
      <c r="E60" s="2">
        <v>0.66</v>
      </c>
      <c r="F60" s="2">
        <v>50.0</v>
      </c>
      <c r="G60" s="3">
        <v>44462.86587622685</v>
      </c>
      <c r="H60" s="5">
        <f>IFERROR(__xludf.DUMMYFUNCTION("SPLIT(G60,"","")"),44462.0)</f>
        <v>44462</v>
      </c>
      <c r="I60" s="6">
        <f>IFERROR(__xludf.DUMMYFUNCTION("""COMPUTED_VALUE"""),0.8658796296296296)</f>
        <v>0.8658796296</v>
      </c>
    </row>
    <row r="61">
      <c r="A61" s="2">
        <v>5.16</v>
      </c>
      <c r="B61" s="2">
        <v>230.6</v>
      </c>
      <c r="C61" s="2">
        <v>785.2</v>
      </c>
      <c r="D61" s="2">
        <v>4.84</v>
      </c>
      <c r="E61" s="2">
        <v>0.66</v>
      </c>
      <c r="F61" s="2">
        <v>50.0</v>
      </c>
      <c r="G61" s="3">
        <v>44462.86597537037</v>
      </c>
      <c r="H61" s="5">
        <f>IFERROR(__xludf.DUMMYFUNCTION("SPLIT(G61,"","")"),44462.0)</f>
        <v>44462</v>
      </c>
      <c r="I61" s="6">
        <f>IFERROR(__xludf.DUMMYFUNCTION("""COMPUTED_VALUE"""),0.8659722222222223)</f>
        <v>0.8659722222</v>
      </c>
    </row>
    <row r="62">
      <c r="A62" s="2">
        <v>5.16</v>
      </c>
      <c r="B62" s="2">
        <v>230.7</v>
      </c>
      <c r="C62" s="2">
        <v>785.5</v>
      </c>
      <c r="D62" s="2">
        <v>4.84</v>
      </c>
      <c r="E62" s="2">
        <v>0.66</v>
      </c>
      <c r="F62" s="2">
        <v>50.0</v>
      </c>
      <c r="G62" s="3">
        <v>44462.86607880787</v>
      </c>
      <c r="H62" s="5">
        <f>IFERROR(__xludf.DUMMYFUNCTION("SPLIT(G62,"","")"),44462.0)</f>
        <v>44462</v>
      </c>
      <c r="I62" s="6">
        <f>IFERROR(__xludf.DUMMYFUNCTION("""COMPUTED_VALUE"""),0.8660763888888889)</f>
        <v>0.8660763889</v>
      </c>
    </row>
    <row r="63">
      <c r="A63" s="2">
        <v>5.16</v>
      </c>
      <c r="B63" s="2">
        <v>230.7</v>
      </c>
      <c r="C63" s="2">
        <v>785.7</v>
      </c>
      <c r="D63" s="2">
        <v>4.84</v>
      </c>
      <c r="E63" s="2">
        <v>0.66</v>
      </c>
      <c r="F63" s="2">
        <v>50.0</v>
      </c>
      <c r="G63" s="3">
        <v>44462.8661819213</v>
      </c>
      <c r="H63" s="5">
        <f>IFERROR(__xludf.DUMMYFUNCTION("SPLIT(G63,"","")"),44462.0)</f>
        <v>44462</v>
      </c>
      <c r="I63" s="6">
        <f>IFERROR(__xludf.DUMMYFUNCTION("""COMPUTED_VALUE"""),0.8661805555555555)</f>
        <v>0.8661805556</v>
      </c>
    </row>
    <row r="64">
      <c r="A64" s="2">
        <v>5.16</v>
      </c>
      <c r="B64" s="2">
        <v>230.6</v>
      </c>
      <c r="C64" s="2">
        <v>785.9</v>
      </c>
      <c r="D64" s="2">
        <v>4.84</v>
      </c>
      <c r="E64" s="2">
        <v>0.66</v>
      </c>
      <c r="F64" s="2">
        <v>50.0</v>
      </c>
      <c r="G64" s="3">
        <v>44462.86628234954</v>
      </c>
      <c r="H64" s="5">
        <f>IFERROR(__xludf.DUMMYFUNCTION("SPLIT(G64,"","")"),44462.0)</f>
        <v>44462</v>
      </c>
      <c r="I64" s="6">
        <f>IFERROR(__xludf.DUMMYFUNCTION("""COMPUTED_VALUE"""),0.8662847222222222)</f>
        <v>0.8662847222</v>
      </c>
    </row>
    <row r="65">
      <c r="A65" s="2">
        <v>5.16</v>
      </c>
      <c r="B65" s="2">
        <v>230.6</v>
      </c>
      <c r="C65" s="2">
        <v>786.1</v>
      </c>
      <c r="D65" s="2">
        <v>4.85</v>
      </c>
      <c r="E65" s="2">
        <v>0.66</v>
      </c>
      <c r="F65" s="2">
        <v>50.0</v>
      </c>
      <c r="G65" s="3">
        <v>44462.866386967595</v>
      </c>
      <c r="H65" s="5">
        <f>IFERROR(__xludf.DUMMYFUNCTION("SPLIT(G65,"","")"),44462.0)</f>
        <v>44462</v>
      </c>
      <c r="I65" s="6">
        <f>IFERROR(__xludf.DUMMYFUNCTION("""COMPUTED_VALUE"""),0.8663888888888889)</f>
        <v>0.8663888889</v>
      </c>
    </row>
    <row r="66">
      <c r="A66" s="2">
        <v>5.16</v>
      </c>
      <c r="B66" s="2">
        <v>230.8</v>
      </c>
      <c r="C66" s="2">
        <v>786.2</v>
      </c>
      <c r="D66" s="2">
        <v>4.85</v>
      </c>
      <c r="E66" s="2">
        <v>0.66</v>
      </c>
      <c r="F66" s="2">
        <v>50.0</v>
      </c>
      <c r="G66" s="3">
        <v>44462.866491168985</v>
      </c>
      <c r="H66" s="5">
        <f>IFERROR(__xludf.DUMMYFUNCTION("SPLIT(G66,"","")"),44462.0)</f>
        <v>44462</v>
      </c>
      <c r="I66" s="6">
        <f>IFERROR(__xludf.DUMMYFUNCTION("""COMPUTED_VALUE"""),0.8664930555555556)</f>
        <v>0.8664930556</v>
      </c>
    </row>
    <row r="67">
      <c r="A67" s="2">
        <v>5.2</v>
      </c>
      <c r="B67" s="2">
        <v>230.2</v>
      </c>
      <c r="C67" s="2">
        <v>786.3</v>
      </c>
      <c r="D67" s="2">
        <v>4.85</v>
      </c>
      <c r="E67" s="2">
        <v>0.66</v>
      </c>
      <c r="F67" s="2">
        <v>50.0</v>
      </c>
      <c r="G67" s="3">
        <v>44462.866590150465</v>
      </c>
      <c r="H67" s="5">
        <f>IFERROR(__xludf.DUMMYFUNCTION("SPLIT(G67,"","")"),44462.0)</f>
        <v>44462</v>
      </c>
      <c r="I67" s="6">
        <f>IFERROR(__xludf.DUMMYFUNCTION("""COMPUTED_VALUE"""),0.8665856481481482)</f>
        <v>0.8665856481</v>
      </c>
    </row>
    <row r="68">
      <c r="A68" s="2">
        <v>5.2</v>
      </c>
      <c r="B68" s="2">
        <v>230.2</v>
      </c>
      <c r="C68" s="2">
        <v>786.4</v>
      </c>
      <c r="D68" s="2">
        <v>4.85</v>
      </c>
      <c r="E68" s="2">
        <v>0.66</v>
      </c>
      <c r="F68" s="2">
        <v>50.0</v>
      </c>
      <c r="G68" s="3">
        <v>44462.86669912037</v>
      </c>
      <c r="H68" s="5">
        <f>IFERROR(__xludf.DUMMYFUNCTION("SPLIT(G68,"","")"),44462.0)</f>
        <v>44462</v>
      </c>
      <c r="I68" s="6">
        <f>IFERROR(__xludf.DUMMYFUNCTION("""COMPUTED_VALUE"""),0.8667013888888889)</f>
        <v>0.8667013889</v>
      </c>
    </row>
    <row r="69">
      <c r="A69" s="2">
        <v>5.2</v>
      </c>
      <c r="B69" s="2">
        <v>230.2</v>
      </c>
      <c r="C69" s="2">
        <v>786.5</v>
      </c>
      <c r="D69" s="2">
        <v>4.86</v>
      </c>
      <c r="E69" s="2">
        <v>0.66</v>
      </c>
      <c r="F69" s="2">
        <v>50.0</v>
      </c>
      <c r="G69" s="3">
        <v>44462.86680942129</v>
      </c>
      <c r="H69" s="5">
        <f>IFERROR(__xludf.DUMMYFUNCTION("SPLIT(G69,"","")"),44462.0)</f>
        <v>44462</v>
      </c>
      <c r="I69" s="6">
        <f>IFERROR(__xludf.DUMMYFUNCTION("""COMPUTED_VALUE"""),0.8668055555555556)</f>
        <v>0.8668055556</v>
      </c>
    </row>
    <row r="70">
      <c r="A70" s="2">
        <v>5.2</v>
      </c>
      <c r="B70" s="2">
        <v>230.1</v>
      </c>
      <c r="C70" s="2">
        <v>786.7</v>
      </c>
      <c r="D70" s="2">
        <v>4.86</v>
      </c>
      <c r="E70" s="2">
        <v>0.66</v>
      </c>
      <c r="F70" s="2">
        <v>50.0</v>
      </c>
      <c r="G70" s="3">
        <v>44462.866910717596</v>
      </c>
      <c r="H70" s="5">
        <f>IFERROR(__xludf.DUMMYFUNCTION("SPLIT(G70,"","")"),44462.0)</f>
        <v>44462</v>
      </c>
      <c r="I70" s="6">
        <f>IFERROR(__xludf.DUMMYFUNCTION("""COMPUTED_VALUE"""),0.8669097222222222)</f>
        <v>0.8669097222</v>
      </c>
    </row>
    <row r="71">
      <c r="A71" s="2">
        <v>5.21</v>
      </c>
      <c r="B71" s="2">
        <v>230.1</v>
      </c>
      <c r="C71" s="2">
        <v>786.7</v>
      </c>
      <c r="D71" s="2">
        <v>4.86</v>
      </c>
      <c r="E71" s="2">
        <v>0.66</v>
      </c>
      <c r="F71" s="2">
        <v>49.9</v>
      </c>
      <c r="G71" s="3">
        <v>44462.86701164352</v>
      </c>
      <c r="H71" s="5">
        <f>IFERROR(__xludf.DUMMYFUNCTION("SPLIT(G71,"","")"),44462.0)</f>
        <v>44462</v>
      </c>
      <c r="I71" s="6">
        <f>IFERROR(__xludf.DUMMYFUNCTION("""COMPUTED_VALUE"""),0.8670138888888889)</f>
        <v>0.8670138889</v>
      </c>
    </row>
    <row r="72">
      <c r="A72" s="2">
        <v>5.21</v>
      </c>
      <c r="B72" s="2">
        <v>230.0</v>
      </c>
      <c r="C72" s="2">
        <v>786.9</v>
      </c>
      <c r="D72" s="2">
        <v>4.86</v>
      </c>
      <c r="E72" s="2">
        <v>0.66</v>
      </c>
      <c r="F72" s="2">
        <v>49.9</v>
      </c>
      <c r="G72" s="3">
        <v>44462.867112962966</v>
      </c>
      <c r="H72" s="5">
        <f>IFERROR(__xludf.DUMMYFUNCTION("SPLIT(G72,"","")"),44462.0)</f>
        <v>44462</v>
      </c>
      <c r="I72" s="6">
        <f>IFERROR(__xludf.DUMMYFUNCTION("""COMPUTED_VALUE"""),0.8671180555555555)</f>
        <v>0.8671180556</v>
      </c>
    </row>
    <row r="73">
      <c r="A73" s="2">
        <v>5.21</v>
      </c>
      <c r="B73" s="2">
        <v>230.1</v>
      </c>
      <c r="C73" s="2">
        <v>787.1</v>
      </c>
      <c r="D73" s="2">
        <v>4.86</v>
      </c>
      <c r="E73" s="2">
        <v>0.66</v>
      </c>
      <c r="F73" s="2">
        <v>49.9</v>
      </c>
      <c r="G73" s="3">
        <v>44462.867216203704</v>
      </c>
      <c r="H73" s="5">
        <f>IFERROR(__xludf.DUMMYFUNCTION("SPLIT(G73,"","")"),44462.0)</f>
        <v>44462</v>
      </c>
      <c r="I73" s="6">
        <f>IFERROR(__xludf.DUMMYFUNCTION("""COMPUTED_VALUE"""),0.8672106481481482)</f>
        <v>0.8672106481</v>
      </c>
    </row>
    <row r="74">
      <c r="A74" s="2">
        <v>5.21</v>
      </c>
      <c r="B74" s="2">
        <v>230.1</v>
      </c>
      <c r="C74" s="2">
        <v>787.3</v>
      </c>
      <c r="D74" s="2">
        <v>4.86</v>
      </c>
      <c r="E74" s="2">
        <v>0.66</v>
      </c>
      <c r="F74" s="2">
        <v>49.9</v>
      </c>
      <c r="G74" s="3">
        <v>44462.86734048611</v>
      </c>
      <c r="H74" s="5">
        <f>IFERROR(__xludf.DUMMYFUNCTION("SPLIT(G74,"","")"),44462.0)</f>
        <v>44462</v>
      </c>
      <c r="I74" s="6">
        <f>IFERROR(__xludf.DUMMYFUNCTION("""COMPUTED_VALUE"""),0.867337962962963)</f>
        <v>0.867337963</v>
      </c>
    </row>
    <row r="75">
      <c r="A75" s="2">
        <v>5.22</v>
      </c>
      <c r="B75" s="2">
        <v>230.0</v>
      </c>
      <c r="C75" s="2">
        <v>787.5</v>
      </c>
      <c r="D75" s="2">
        <v>4.87</v>
      </c>
      <c r="E75" s="2">
        <v>0.66</v>
      </c>
      <c r="F75" s="2">
        <v>49.9</v>
      </c>
      <c r="G75" s="3">
        <v>44462.86744296296</v>
      </c>
      <c r="H75" s="5">
        <f>IFERROR(__xludf.DUMMYFUNCTION("SPLIT(G75,"","")"),44462.0)</f>
        <v>44462</v>
      </c>
      <c r="I75" s="6">
        <f>IFERROR(__xludf.DUMMYFUNCTION("""COMPUTED_VALUE"""),0.8674421296296296)</f>
        <v>0.8674421296</v>
      </c>
    </row>
    <row r="76">
      <c r="A76" s="2">
        <v>5.21</v>
      </c>
      <c r="B76" s="2">
        <v>230.0</v>
      </c>
      <c r="C76" s="2">
        <v>787.6</v>
      </c>
      <c r="D76" s="2">
        <v>4.87</v>
      </c>
      <c r="E76" s="2">
        <v>0.66</v>
      </c>
      <c r="F76" s="2">
        <v>49.9</v>
      </c>
      <c r="G76" s="3">
        <v>44462.86755003472</v>
      </c>
      <c r="H76" s="5">
        <f>IFERROR(__xludf.DUMMYFUNCTION("SPLIT(G76,"","")"),44462.0)</f>
        <v>44462</v>
      </c>
      <c r="I76" s="6">
        <f>IFERROR(__xludf.DUMMYFUNCTION("""COMPUTED_VALUE"""),0.8675462962962963)</f>
        <v>0.8675462963</v>
      </c>
    </row>
    <row r="77">
      <c r="A77" s="2">
        <v>5.21</v>
      </c>
      <c r="B77" s="2">
        <v>230.2</v>
      </c>
      <c r="C77" s="2">
        <v>787.8</v>
      </c>
      <c r="D77" s="2">
        <v>4.87</v>
      </c>
      <c r="E77" s="2">
        <v>0.66</v>
      </c>
      <c r="F77" s="2">
        <v>49.9</v>
      </c>
      <c r="G77" s="3">
        <v>44462.86766335648</v>
      </c>
      <c r="H77" s="5">
        <f>IFERROR(__xludf.DUMMYFUNCTION("SPLIT(G77,"","")"),44462.0)</f>
        <v>44462</v>
      </c>
      <c r="I77" s="6">
        <f>IFERROR(__xludf.DUMMYFUNCTION("""COMPUTED_VALUE"""),0.867662037037037)</f>
        <v>0.867662037</v>
      </c>
    </row>
    <row r="78">
      <c r="A78" s="2">
        <v>5.21</v>
      </c>
      <c r="B78" s="2">
        <v>230.5</v>
      </c>
      <c r="C78" s="2">
        <v>787.9</v>
      </c>
      <c r="D78" s="2">
        <v>4.87</v>
      </c>
      <c r="E78" s="2">
        <v>0.66</v>
      </c>
      <c r="F78" s="2">
        <v>50.0</v>
      </c>
      <c r="G78" s="3">
        <v>44462.86777525463</v>
      </c>
      <c r="H78" s="5">
        <f>IFERROR(__xludf.DUMMYFUNCTION("SPLIT(G78,"","")"),44462.0)</f>
        <v>44462</v>
      </c>
      <c r="I78" s="6">
        <f>IFERROR(__xludf.DUMMYFUNCTION("""COMPUTED_VALUE"""),0.8677777777777778)</f>
        <v>0.8677777778</v>
      </c>
    </row>
    <row r="79">
      <c r="A79" s="2">
        <v>5.21</v>
      </c>
      <c r="B79" s="2">
        <v>230.6</v>
      </c>
      <c r="C79" s="2">
        <v>788.2</v>
      </c>
      <c r="D79" s="2">
        <v>4.88</v>
      </c>
      <c r="E79" s="2">
        <v>0.66</v>
      </c>
      <c r="F79" s="2">
        <v>50.0</v>
      </c>
      <c r="G79" s="3">
        <v>44462.86788333333</v>
      </c>
      <c r="H79" s="5">
        <f>IFERROR(__xludf.DUMMYFUNCTION("SPLIT(G79,"","")"),44462.0)</f>
        <v>44462</v>
      </c>
      <c r="I79" s="6">
        <f>IFERROR(__xludf.DUMMYFUNCTION("""COMPUTED_VALUE"""),0.8678819444444444)</f>
        <v>0.8678819444</v>
      </c>
    </row>
    <row r="80">
      <c r="A80" s="2">
        <v>5.21</v>
      </c>
      <c r="B80" s="2">
        <v>230.6</v>
      </c>
      <c r="C80" s="2">
        <v>788.3</v>
      </c>
      <c r="D80" s="2">
        <v>4.88</v>
      </c>
      <c r="E80" s="2">
        <v>0.66</v>
      </c>
      <c r="F80" s="2">
        <v>50.0</v>
      </c>
      <c r="G80" s="3">
        <v>44462.86798972222</v>
      </c>
      <c r="H80" s="5">
        <f>IFERROR(__xludf.DUMMYFUNCTION("SPLIT(G80,"","")"),44462.0)</f>
        <v>44462</v>
      </c>
      <c r="I80" s="6">
        <f>IFERROR(__xludf.DUMMYFUNCTION("""COMPUTED_VALUE"""),0.8679861111111111)</f>
        <v>0.8679861111</v>
      </c>
    </row>
    <row r="81">
      <c r="A81" s="2">
        <v>5.21</v>
      </c>
      <c r="B81" s="2">
        <v>230.5</v>
      </c>
      <c r="C81" s="2">
        <v>788.4</v>
      </c>
      <c r="D81" s="2">
        <v>4.88</v>
      </c>
      <c r="E81" s="2">
        <v>0.66</v>
      </c>
      <c r="F81" s="2">
        <v>50.0</v>
      </c>
      <c r="G81" s="3">
        <v>44462.868091435186</v>
      </c>
      <c r="H81" s="5">
        <f>IFERROR(__xludf.DUMMYFUNCTION("SPLIT(G81,"","")"),44462.0)</f>
        <v>44462</v>
      </c>
      <c r="I81" s="6">
        <f>IFERROR(__xludf.DUMMYFUNCTION("""COMPUTED_VALUE"""),0.8680902777777778)</f>
        <v>0.8680902778</v>
      </c>
    </row>
    <row r="82">
      <c r="A82" s="2">
        <v>5.22</v>
      </c>
      <c r="B82" s="2">
        <v>230.5</v>
      </c>
      <c r="C82" s="2">
        <v>788.5</v>
      </c>
      <c r="D82" s="2">
        <v>4.88</v>
      </c>
      <c r="E82" s="2">
        <v>0.66</v>
      </c>
      <c r="F82" s="2">
        <v>50.0</v>
      </c>
      <c r="G82" s="3">
        <v>44462.8681984375</v>
      </c>
      <c r="H82" s="5">
        <f>IFERROR(__xludf.DUMMYFUNCTION("SPLIT(G82,"","")"),44462.0)</f>
        <v>44462</v>
      </c>
      <c r="I82" s="6">
        <f>IFERROR(__xludf.DUMMYFUNCTION("""COMPUTED_VALUE"""),0.8681944444444445)</f>
        <v>0.8681944444</v>
      </c>
    </row>
    <row r="83">
      <c r="A83" s="2">
        <v>5.22</v>
      </c>
      <c r="B83" s="2">
        <v>230.4</v>
      </c>
      <c r="C83" s="2">
        <v>788.7</v>
      </c>
      <c r="D83" s="2">
        <v>4.88</v>
      </c>
      <c r="E83" s="2">
        <v>0.66</v>
      </c>
      <c r="F83" s="2">
        <v>50.0</v>
      </c>
      <c r="G83" s="3">
        <v>44462.86830636574</v>
      </c>
      <c r="H83" s="5">
        <f>IFERROR(__xludf.DUMMYFUNCTION("SPLIT(G83,"","")"),44462.0)</f>
        <v>44462</v>
      </c>
      <c r="I83" s="6">
        <f>IFERROR(__xludf.DUMMYFUNCTION("""COMPUTED_VALUE"""),0.8683101851851852)</f>
        <v>0.8683101852</v>
      </c>
    </row>
    <row r="84">
      <c r="A84" s="2">
        <v>5.22</v>
      </c>
      <c r="B84" s="2">
        <v>230.3</v>
      </c>
      <c r="C84" s="2">
        <v>788.8</v>
      </c>
      <c r="D84" s="2">
        <v>4.89</v>
      </c>
      <c r="E84" s="2">
        <v>0.66</v>
      </c>
      <c r="F84" s="2">
        <v>50.0</v>
      </c>
      <c r="G84" s="3">
        <v>44462.86841582176</v>
      </c>
      <c r="H84" s="5">
        <f>IFERROR(__xludf.DUMMYFUNCTION("SPLIT(G84,"","")"),44462.0)</f>
        <v>44462</v>
      </c>
      <c r="I84" s="6">
        <f>IFERROR(__xludf.DUMMYFUNCTION("""COMPUTED_VALUE"""),0.8684143518518519)</f>
        <v>0.8684143519</v>
      </c>
    </row>
    <row r="85">
      <c r="A85" s="2">
        <v>5.22</v>
      </c>
      <c r="B85" s="2">
        <v>230.2</v>
      </c>
      <c r="C85" s="2">
        <v>788.9</v>
      </c>
      <c r="D85" s="2">
        <v>4.89</v>
      </c>
      <c r="E85" s="2">
        <v>0.66</v>
      </c>
      <c r="F85" s="2">
        <v>49.9</v>
      </c>
      <c r="G85" s="3">
        <v>44462.86851943287</v>
      </c>
      <c r="H85" s="5">
        <f>IFERROR(__xludf.DUMMYFUNCTION("SPLIT(G85,"","")"),44462.0)</f>
        <v>44462</v>
      </c>
      <c r="I85" s="6">
        <f>IFERROR(__xludf.DUMMYFUNCTION("""COMPUTED_VALUE"""),0.8685185185185185)</f>
        <v>0.8685185185</v>
      </c>
    </row>
    <row r="86">
      <c r="A86" s="2">
        <v>5.22</v>
      </c>
      <c r="B86" s="2">
        <v>230.2</v>
      </c>
      <c r="C86" s="2">
        <v>788.9</v>
      </c>
      <c r="D86" s="2">
        <v>4.89</v>
      </c>
      <c r="E86" s="2">
        <v>0.66</v>
      </c>
      <c r="F86" s="2">
        <v>49.9</v>
      </c>
      <c r="G86" s="3">
        <v>44462.868618506945</v>
      </c>
      <c r="H86" s="5">
        <f>IFERROR(__xludf.DUMMYFUNCTION("SPLIT(G86,"","")"),44462.0)</f>
        <v>44462</v>
      </c>
      <c r="I86" s="6">
        <f>IFERROR(__xludf.DUMMYFUNCTION("""COMPUTED_VALUE"""),0.8686226851851852)</f>
        <v>0.8686226852</v>
      </c>
    </row>
    <row r="87">
      <c r="A87" s="2">
        <v>5.22</v>
      </c>
      <c r="B87" s="2">
        <v>230.3</v>
      </c>
      <c r="C87" s="2">
        <v>789.1</v>
      </c>
      <c r="D87" s="2">
        <v>4.89</v>
      </c>
      <c r="E87" s="2">
        <v>0.66</v>
      </c>
      <c r="F87" s="2">
        <v>50.0</v>
      </c>
      <c r="G87" s="3">
        <v>44462.868716006946</v>
      </c>
      <c r="H87" s="5">
        <f>IFERROR(__xludf.DUMMYFUNCTION("SPLIT(G87,"","")"),44462.0)</f>
        <v>44462</v>
      </c>
      <c r="I87" s="6">
        <f>IFERROR(__xludf.DUMMYFUNCTION("""COMPUTED_VALUE"""),0.8687152777777778)</f>
        <v>0.8687152778</v>
      </c>
    </row>
    <row r="88">
      <c r="A88" s="2">
        <v>5.22</v>
      </c>
      <c r="B88" s="2">
        <v>230.3</v>
      </c>
      <c r="C88" s="2">
        <v>789.2</v>
      </c>
      <c r="D88" s="2">
        <v>4.89</v>
      </c>
      <c r="E88" s="2">
        <v>0.66</v>
      </c>
      <c r="F88" s="2">
        <v>50.0</v>
      </c>
      <c r="G88" s="3">
        <v>44462.868819247684</v>
      </c>
      <c r="H88" s="5">
        <f>IFERROR(__xludf.DUMMYFUNCTION("SPLIT(G88,"","")"),44462.0)</f>
        <v>44462</v>
      </c>
      <c r="I88" s="6">
        <f>IFERROR(__xludf.DUMMYFUNCTION("""COMPUTED_VALUE"""),0.8688194444444445)</f>
        <v>0.8688194444</v>
      </c>
    </row>
    <row r="89">
      <c r="A89" s="2">
        <v>5.23</v>
      </c>
      <c r="B89" s="2">
        <v>230.3</v>
      </c>
      <c r="C89" s="2">
        <v>789.5</v>
      </c>
      <c r="D89" s="2">
        <v>4.89</v>
      </c>
      <c r="E89" s="2">
        <v>0.66</v>
      </c>
      <c r="F89" s="2">
        <v>50.0</v>
      </c>
      <c r="G89" s="3">
        <v>44462.868925532406</v>
      </c>
      <c r="H89" s="5">
        <f>IFERROR(__xludf.DUMMYFUNCTION("SPLIT(G89,"","")"),44462.0)</f>
        <v>44462</v>
      </c>
      <c r="I89" s="6">
        <f>IFERROR(__xludf.DUMMYFUNCTION("""COMPUTED_VALUE"""),0.8689236111111112)</f>
        <v>0.8689236111</v>
      </c>
    </row>
    <row r="90">
      <c r="A90" s="2">
        <v>5.23</v>
      </c>
      <c r="B90" s="2">
        <v>230.4</v>
      </c>
      <c r="C90" s="2">
        <v>789.6</v>
      </c>
      <c r="D90" s="2">
        <v>4.9</v>
      </c>
      <c r="E90" s="2">
        <v>0.66</v>
      </c>
      <c r="F90" s="2">
        <v>50.0</v>
      </c>
      <c r="G90" s="3">
        <v>44462.86902576389</v>
      </c>
      <c r="H90" s="5">
        <f>IFERROR(__xludf.DUMMYFUNCTION("SPLIT(G90,"","")"),44462.0)</f>
        <v>44462</v>
      </c>
      <c r="I90" s="6">
        <f>IFERROR(__xludf.DUMMYFUNCTION("""COMPUTED_VALUE"""),0.8690277777777777)</f>
        <v>0.8690277778</v>
      </c>
    </row>
    <row r="91">
      <c r="A91" s="2">
        <v>5.22</v>
      </c>
      <c r="B91" s="2">
        <v>230.4</v>
      </c>
      <c r="C91" s="2">
        <v>789.5</v>
      </c>
      <c r="D91" s="2">
        <v>4.9</v>
      </c>
      <c r="E91" s="2">
        <v>0.66</v>
      </c>
      <c r="F91" s="2">
        <v>50.0</v>
      </c>
      <c r="G91" s="3">
        <v>44462.869125173616</v>
      </c>
      <c r="H91" s="5">
        <f>IFERROR(__xludf.DUMMYFUNCTION("SPLIT(G91,"","")"),44462.0)</f>
        <v>44462</v>
      </c>
      <c r="I91" s="6">
        <f>IFERROR(__xludf.DUMMYFUNCTION("""COMPUTED_VALUE"""),0.8691203703703704)</f>
        <v>0.8691203704</v>
      </c>
    </row>
    <row r="92">
      <c r="A92" s="2">
        <v>5.23</v>
      </c>
      <c r="B92" s="2">
        <v>230.3</v>
      </c>
      <c r="C92" s="2">
        <v>789.7</v>
      </c>
      <c r="D92" s="2">
        <v>4.9</v>
      </c>
      <c r="E92" s="2">
        <v>0.66</v>
      </c>
      <c r="F92" s="2">
        <v>50.0</v>
      </c>
      <c r="G92" s="3">
        <v>44462.86923581018</v>
      </c>
      <c r="H92" s="5">
        <f>IFERROR(__xludf.DUMMYFUNCTION("SPLIT(G92,"","")"),44462.0)</f>
        <v>44462</v>
      </c>
      <c r="I92" s="6">
        <f>IFERROR(__xludf.DUMMYFUNCTION("""COMPUTED_VALUE"""),0.8692361111111111)</f>
        <v>0.8692361111</v>
      </c>
    </row>
    <row r="93">
      <c r="A93" s="2">
        <v>5.23</v>
      </c>
      <c r="B93" s="2">
        <v>230.2</v>
      </c>
      <c r="C93" s="2">
        <v>789.8</v>
      </c>
      <c r="D93" s="2">
        <v>4.9</v>
      </c>
      <c r="E93" s="2">
        <v>0.66</v>
      </c>
      <c r="F93" s="2">
        <v>50.0</v>
      </c>
      <c r="G93" s="3">
        <v>44462.869345405095</v>
      </c>
      <c r="H93" s="5">
        <f>IFERROR(__xludf.DUMMYFUNCTION("SPLIT(G93,"","")"),44462.0)</f>
        <v>44462</v>
      </c>
      <c r="I93" s="6">
        <f>IFERROR(__xludf.DUMMYFUNCTION("""COMPUTED_VALUE"""),0.8693402777777778)</f>
        <v>0.8693402778</v>
      </c>
    </row>
    <row r="94">
      <c r="A94" s="2">
        <v>5.23</v>
      </c>
      <c r="B94" s="2">
        <v>230.3</v>
      </c>
      <c r="C94" s="2">
        <v>789.9</v>
      </c>
      <c r="D94" s="2">
        <v>4.91</v>
      </c>
      <c r="E94" s="2">
        <v>0.66</v>
      </c>
      <c r="F94" s="2">
        <v>50.0</v>
      </c>
      <c r="G94" s="3">
        <v>44462.86944721064</v>
      </c>
      <c r="H94" s="5">
        <f>IFERROR(__xludf.DUMMYFUNCTION("SPLIT(G94,"","")"),44462.0)</f>
        <v>44462</v>
      </c>
      <c r="I94" s="6">
        <f>IFERROR(__xludf.DUMMYFUNCTION("""COMPUTED_VALUE"""),0.8694444444444445)</f>
        <v>0.8694444444</v>
      </c>
    </row>
    <row r="95">
      <c r="A95" s="2">
        <v>5.23</v>
      </c>
      <c r="B95" s="2">
        <v>230.3</v>
      </c>
      <c r="C95" s="2">
        <v>789.9</v>
      </c>
      <c r="D95" s="2">
        <v>4.91</v>
      </c>
      <c r="E95" s="2">
        <v>0.66</v>
      </c>
      <c r="F95" s="2">
        <v>50.0</v>
      </c>
      <c r="G95" s="3">
        <v>44462.86956082176</v>
      </c>
      <c r="H95" s="5">
        <f>IFERROR(__xludf.DUMMYFUNCTION("SPLIT(G95,"","")"),44462.0)</f>
        <v>44462</v>
      </c>
      <c r="I95" s="6">
        <f>IFERROR(__xludf.DUMMYFUNCTION("""COMPUTED_VALUE"""),0.8695601851851852)</f>
        <v>0.8695601852</v>
      </c>
    </row>
    <row r="96">
      <c r="A96" s="2">
        <v>5.26</v>
      </c>
      <c r="B96" s="2">
        <v>229.4</v>
      </c>
      <c r="C96" s="2">
        <v>789.8</v>
      </c>
      <c r="D96" s="2">
        <v>4.91</v>
      </c>
      <c r="E96" s="2">
        <v>0.65</v>
      </c>
      <c r="F96" s="2">
        <v>50.0</v>
      </c>
      <c r="G96" s="3">
        <v>44462.86966332176</v>
      </c>
      <c r="H96" s="5">
        <f>IFERROR(__xludf.DUMMYFUNCTION("SPLIT(G96,"","")"),44462.0)</f>
        <v>44462</v>
      </c>
      <c r="I96" s="6">
        <f>IFERROR(__xludf.DUMMYFUNCTION("""COMPUTED_VALUE"""),0.8696643518518519)</f>
        <v>0.8696643519</v>
      </c>
    </row>
    <row r="97">
      <c r="A97" s="2">
        <v>5.27</v>
      </c>
      <c r="B97" s="2">
        <v>229.2</v>
      </c>
      <c r="C97" s="2">
        <v>789.9</v>
      </c>
      <c r="D97" s="2">
        <v>4.91</v>
      </c>
      <c r="E97" s="2">
        <v>0.65</v>
      </c>
      <c r="F97" s="2">
        <v>49.9</v>
      </c>
      <c r="G97" s="3">
        <v>44462.86976811342</v>
      </c>
      <c r="H97" s="5">
        <f>IFERROR(__xludf.DUMMYFUNCTION("SPLIT(G97,"","")"),44462.0)</f>
        <v>44462</v>
      </c>
      <c r="I97" s="6">
        <f>IFERROR(__xludf.DUMMYFUNCTION("""COMPUTED_VALUE"""),0.8697685185185186)</f>
        <v>0.8697685185</v>
      </c>
    </row>
    <row r="98">
      <c r="A98" s="2">
        <v>5.27</v>
      </c>
      <c r="B98" s="2">
        <v>229.2</v>
      </c>
      <c r="C98" s="2">
        <v>790.0</v>
      </c>
      <c r="D98" s="2">
        <v>4.91</v>
      </c>
      <c r="E98" s="2">
        <v>0.65</v>
      </c>
      <c r="F98" s="2">
        <v>49.9</v>
      </c>
      <c r="G98" s="3">
        <v>44462.86987163195</v>
      </c>
      <c r="H98" s="5">
        <f>IFERROR(__xludf.DUMMYFUNCTION("SPLIT(G98,"","")"),44462.0)</f>
        <v>44462</v>
      </c>
      <c r="I98" s="6">
        <f>IFERROR(__xludf.DUMMYFUNCTION("""COMPUTED_VALUE"""),0.8698726851851852)</f>
        <v>0.8698726852</v>
      </c>
    </row>
    <row r="99">
      <c r="A99" s="2">
        <v>5.28</v>
      </c>
      <c r="B99" s="2">
        <v>229.1</v>
      </c>
      <c r="C99" s="2">
        <v>790.1</v>
      </c>
      <c r="D99" s="2">
        <v>4.91</v>
      </c>
      <c r="E99" s="2">
        <v>0.65</v>
      </c>
      <c r="F99" s="2">
        <v>49.9</v>
      </c>
      <c r="G99" s="3">
        <v>44462.86997721065</v>
      </c>
      <c r="H99" s="5">
        <f>IFERROR(__xludf.DUMMYFUNCTION("SPLIT(G99,"","")"),44462.0)</f>
        <v>44462</v>
      </c>
      <c r="I99" s="6">
        <f>IFERROR(__xludf.DUMMYFUNCTION("""COMPUTED_VALUE"""),0.8699768518518518)</f>
        <v>0.8699768519</v>
      </c>
    </row>
    <row r="100">
      <c r="A100" s="2">
        <v>5.28</v>
      </c>
      <c r="B100" s="2">
        <v>229.2</v>
      </c>
      <c r="C100" s="2">
        <v>790.3</v>
      </c>
      <c r="D100" s="2">
        <v>4.92</v>
      </c>
      <c r="E100" s="2">
        <v>0.65</v>
      </c>
      <c r="F100" s="2">
        <v>49.9</v>
      </c>
      <c r="G100" s="3">
        <v>44462.8700822338</v>
      </c>
      <c r="H100" s="5">
        <f>IFERROR(__xludf.DUMMYFUNCTION("SPLIT(G100,"","")"),44462.0)</f>
        <v>44462</v>
      </c>
      <c r="I100" s="6">
        <f>IFERROR(__xludf.DUMMYFUNCTION("""COMPUTED_VALUE"""),0.8700810185185185)</f>
        <v>0.8700810185</v>
      </c>
    </row>
    <row r="101">
      <c r="A101" s="2">
        <v>5.28</v>
      </c>
      <c r="B101" s="2">
        <v>229.2</v>
      </c>
      <c r="C101" s="2">
        <v>790.4</v>
      </c>
      <c r="D101" s="2">
        <v>4.92</v>
      </c>
      <c r="E101" s="2">
        <v>0.65</v>
      </c>
      <c r="F101" s="2">
        <v>49.9</v>
      </c>
      <c r="G101" s="3">
        <v>44462.8701846412</v>
      </c>
      <c r="H101" s="5">
        <f>IFERROR(__xludf.DUMMYFUNCTION("SPLIT(G101,"","")"),44462.0)</f>
        <v>44462</v>
      </c>
      <c r="I101" s="6">
        <f>IFERROR(__xludf.DUMMYFUNCTION("""COMPUTED_VALUE"""),0.8701851851851852)</f>
        <v>0.8701851852</v>
      </c>
    </row>
    <row r="102">
      <c r="A102" s="2">
        <v>5.28</v>
      </c>
      <c r="B102" s="2">
        <v>229.2</v>
      </c>
      <c r="C102" s="2">
        <v>790.4</v>
      </c>
      <c r="D102" s="2">
        <v>4.92</v>
      </c>
      <c r="E102" s="2">
        <v>0.65</v>
      </c>
      <c r="F102" s="2">
        <v>50.0</v>
      </c>
      <c r="G102" s="3">
        <v>44462.87028484954</v>
      </c>
      <c r="H102" s="5">
        <f>IFERROR(__xludf.DUMMYFUNCTION("SPLIT(G102,"","")"),44462.0)</f>
        <v>44462</v>
      </c>
      <c r="I102" s="6">
        <f>IFERROR(__xludf.DUMMYFUNCTION("""COMPUTED_VALUE"""),0.8702893518518519)</f>
        <v>0.8702893519</v>
      </c>
    </row>
    <row r="103">
      <c r="A103" s="2">
        <v>5.28</v>
      </c>
      <c r="B103" s="2">
        <v>229.4</v>
      </c>
      <c r="C103" s="2">
        <v>790.5</v>
      </c>
      <c r="D103" s="2">
        <v>4.92</v>
      </c>
      <c r="E103" s="2">
        <v>0.65</v>
      </c>
      <c r="F103" s="2">
        <v>50.0</v>
      </c>
      <c r="G103" s="3">
        <v>44462.8703900463</v>
      </c>
      <c r="H103" s="5">
        <f>IFERROR(__xludf.DUMMYFUNCTION("SPLIT(G103,"","")"),44462.0)</f>
        <v>44462</v>
      </c>
      <c r="I103" s="6">
        <f>IFERROR(__xludf.DUMMYFUNCTION("""COMPUTED_VALUE"""),0.8703935185185185)</f>
        <v>0.8703935185</v>
      </c>
    </row>
    <row r="104">
      <c r="A104" s="2">
        <v>5.28</v>
      </c>
      <c r="B104" s="2">
        <v>229.4</v>
      </c>
      <c r="C104" s="2">
        <v>790.5</v>
      </c>
      <c r="D104" s="2">
        <v>4.93</v>
      </c>
      <c r="E104" s="2">
        <v>0.65</v>
      </c>
      <c r="F104" s="2">
        <v>50.0</v>
      </c>
      <c r="G104" s="3">
        <v>44462.87049596065</v>
      </c>
      <c r="H104" s="5">
        <f>IFERROR(__xludf.DUMMYFUNCTION("SPLIT(G104,"","")"),44462.0)</f>
        <v>44462</v>
      </c>
      <c r="I104" s="6">
        <f>IFERROR(__xludf.DUMMYFUNCTION("""COMPUTED_VALUE"""),0.8704976851851852)</f>
        <v>0.8704976852</v>
      </c>
    </row>
    <row r="105">
      <c r="A105" s="2">
        <v>5.27</v>
      </c>
      <c r="B105" s="2">
        <v>229.4</v>
      </c>
      <c r="C105" s="2">
        <v>790.7</v>
      </c>
      <c r="D105" s="2">
        <v>4.93</v>
      </c>
      <c r="E105" s="2">
        <v>0.65</v>
      </c>
      <c r="F105" s="2">
        <v>50.0</v>
      </c>
      <c r="G105" s="3">
        <v>44462.87059909722</v>
      </c>
      <c r="H105" s="5">
        <f>IFERROR(__xludf.DUMMYFUNCTION("SPLIT(G105,"","")"),44462.0)</f>
        <v>44462</v>
      </c>
      <c r="I105" s="6">
        <f>IFERROR(__xludf.DUMMYFUNCTION("""COMPUTED_VALUE"""),0.8706018518518519)</f>
        <v>0.8706018519</v>
      </c>
    </row>
    <row r="106">
      <c r="A106" s="2">
        <v>5.27</v>
      </c>
      <c r="B106" s="2">
        <v>229.5</v>
      </c>
      <c r="C106" s="2">
        <v>790.9</v>
      </c>
      <c r="D106" s="2">
        <v>4.93</v>
      </c>
      <c r="E106" s="2">
        <v>0.65</v>
      </c>
      <c r="F106" s="2">
        <v>50.0</v>
      </c>
      <c r="G106" s="3">
        <v>44462.870708055554</v>
      </c>
      <c r="H106" s="5">
        <f>IFERROR(__xludf.DUMMYFUNCTION("SPLIT(G106,"","")"),44462.0)</f>
        <v>44462</v>
      </c>
      <c r="I106" s="6">
        <f>IFERROR(__xludf.DUMMYFUNCTION("""COMPUTED_VALUE"""),0.8707060185185185)</f>
        <v>0.8707060185</v>
      </c>
    </row>
    <row r="107">
      <c r="A107" s="2">
        <v>5.27</v>
      </c>
      <c r="B107" s="2">
        <v>229.5</v>
      </c>
      <c r="C107" s="2">
        <v>790.9</v>
      </c>
      <c r="D107" s="2">
        <v>4.93</v>
      </c>
      <c r="E107" s="2">
        <v>0.65</v>
      </c>
      <c r="F107" s="2">
        <v>50.0</v>
      </c>
      <c r="G107" s="3">
        <v>44462.870816423616</v>
      </c>
      <c r="H107" s="5">
        <f>IFERROR(__xludf.DUMMYFUNCTION("SPLIT(G107,"","")"),44462.0)</f>
        <v>44462</v>
      </c>
      <c r="I107" s="6">
        <f>IFERROR(__xludf.DUMMYFUNCTION("""COMPUTED_VALUE"""),0.8708217592592593)</f>
        <v>0.8708217593</v>
      </c>
    </row>
    <row r="108">
      <c r="A108" s="2">
        <v>5.28</v>
      </c>
      <c r="B108" s="2">
        <v>229.5</v>
      </c>
      <c r="C108" s="2">
        <v>791.1</v>
      </c>
      <c r="D108" s="2">
        <v>4.93</v>
      </c>
      <c r="E108" s="2">
        <v>0.65</v>
      </c>
      <c r="F108" s="2">
        <v>50.0</v>
      </c>
      <c r="G108" s="3">
        <v>44462.87092030093</v>
      </c>
      <c r="H108" s="5">
        <f>IFERROR(__xludf.DUMMYFUNCTION("SPLIT(G108,"","")"),44462.0)</f>
        <v>44462</v>
      </c>
      <c r="I108" s="6">
        <f>IFERROR(__xludf.DUMMYFUNCTION("""COMPUTED_VALUE"""),0.8709259259259259)</f>
        <v>0.8709259259</v>
      </c>
    </row>
    <row r="109">
      <c r="A109" s="2">
        <v>5.28</v>
      </c>
      <c r="B109" s="2">
        <v>229.4</v>
      </c>
      <c r="C109" s="2">
        <v>791.1</v>
      </c>
      <c r="D109" s="2">
        <v>4.93</v>
      </c>
      <c r="E109" s="2">
        <v>0.65</v>
      </c>
      <c r="F109" s="2">
        <v>50.0</v>
      </c>
      <c r="G109" s="3">
        <v>44462.871028333335</v>
      </c>
      <c r="H109" s="5">
        <f>IFERROR(__xludf.DUMMYFUNCTION("SPLIT(G109,"","")"),44462.0)</f>
        <v>44462</v>
      </c>
      <c r="I109" s="6">
        <f>IFERROR(__xludf.DUMMYFUNCTION("""COMPUTED_VALUE"""),0.8710300925925926)</f>
        <v>0.8710300926</v>
      </c>
    </row>
    <row r="110">
      <c r="A110" s="2">
        <v>5.27</v>
      </c>
      <c r="B110" s="2">
        <v>229.5</v>
      </c>
      <c r="C110" s="2">
        <v>791.2</v>
      </c>
      <c r="D110" s="2">
        <v>4.94</v>
      </c>
      <c r="E110" s="2">
        <v>0.65</v>
      </c>
      <c r="F110" s="2">
        <v>50.0</v>
      </c>
      <c r="G110" s="3">
        <v>44462.87113932871</v>
      </c>
      <c r="H110" s="5">
        <f>IFERROR(__xludf.DUMMYFUNCTION("SPLIT(G110,"","")"),44462.0)</f>
        <v>44462</v>
      </c>
      <c r="I110" s="6">
        <f>IFERROR(__xludf.DUMMYFUNCTION("""COMPUTED_VALUE"""),0.8711342592592592)</f>
        <v>0.8711342593</v>
      </c>
    </row>
    <row r="111">
      <c r="A111" s="2">
        <v>5.28</v>
      </c>
      <c r="B111" s="2">
        <v>229.5</v>
      </c>
      <c r="C111" s="2">
        <v>791.2</v>
      </c>
      <c r="D111" s="2">
        <v>4.94</v>
      </c>
      <c r="E111" s="2">
        <v>0.65</v>
      </c>
      <c r="F111" s="2">
        <v>50.0</v>
      </c>
      <c r="G111" s="3">
        <v>44462.87124337963</v>
      </c>
      <c r="H111" s="5">
        <f>IFERROR(__xludf.DUMMYFUNCTION("SPLIT(G111,"","")"),44462.0)</f>
        <v>44462</v>
      </c>
      <c r="I111" s="6">
        <f>IFERROR(__xludf.DUMMYFUNCTION("""COMPUTED_VALUE"""),0.8712384259259259)</f>
        <v>0.8712384259</v>
      </c>
    </row>
    <row r="112">
      <c r="A112" s="2">
        <v>5.28</v>
      </c>
      <c r="B112" s="2">
        <v>229.4</v>
      </c>
      <c r="C112" s="2">
        <v>791.4</v>
      </c>
      <c r="D112" s="2">
        <v>4.94</v>
      </c>
      <c r="E112" s="2">
        <v>0.65</v>
      </c>
      <c r="F112" s="2">
        <v>49.9</v>
      </c>
      <c r="G112" s="3">
        <v>44462.87134820602</v>
      </c>
      <c r="H112" s="5">
        <f>IFERROR(__xludf.DUMMYFUNCTION("SPLIT(G112,"","")"),44462.0)</f>
        <v>44462</v>
      </c>
      <c r="I112" s="6">
        <f>IFERROR(__xludf.DUMMYFUNCTION("""COMPUTED_VALUE"""),0.8713425925925926)</f>
        <v>0.8713425926</v>
      </c>
    </row>
    <row r="113">
      <c r="A113" s="2">
        <v>5.27</v>
      </c>
      <c r="B113" s="2">
        <v>229.4</v>
      </c>
      <c r="C113" s="2">
        <v>791.4</v>
      </c>
      <c r="D113" s="2">
        <v>4.94</v>
      </c>
      <c r="E113" s="2">
        <v>0.65</v>
      </c>
      <c r="F113" s="2">
        <v>50.0</v>
      </c>
      <c r="G113" s="3">
        <v>44462.871451377316</v>
      </c>
      <c r="H113" s="5">
        <f>IFERROR(__xludf.DUMMYFUNCTION("SPLIT(G113,"","")"),44462.0)</f>
        <v>44462</v>
      </c>
      <c r="I113" s="6">
        <f>IFERROR(__xludf.DUMMYFUNCTION("""COMPUTED_VALUE"""),0.8714467592592593)</f>
        <v>0.8714467593</v>
      </c>
    </row>
    <row r="114">
      <c r="A114" s="2">
        <v>5.28</v>
      </c>
      <c r="B114" s="2">
        <v>229.5</v>
      </c>
      <c r="C114" s="2">
        <v>791.5</v>
      </c>
      <c r="D114" s="2">
        <v>4.95</v>
      </c>
      <c r="E114" s="2">
        <v>0.65</v>
      </c>
      <c r="F114" s="2">
        <v>50.0</v>
      </c>
      <c r="G114" s="3">
        <v>44462.871552662036</v>
      </c>
      <c r="H114" s="5">
        <f>IFERROR(__xludf.DUMMYFUNCTION("SPLIT(G114,"","")"),44462.0)</f>
        <v>44462</v>
      </c>
      <c r="I114" s="6">
        <f>IFERROR(__xludf.DUMMYFUNCTION("""COMPUTED_VALUE"""),0.871550925925926)</f>
        <v>0.8715509259</v>
      </c>
    </row>
    <row r="115">
      <c r="A115" s="2">
        <v>5.26</v>
      </c>
      <c r="B115" s="2">
        <v>229.5</v>
      </c>
      <c r="C115" s="2">
        <v>791.6</v>
      </c>
      <c r="D115" s="2">
        <v>4.95</v>
      </c>
      <c r="E115" s="2">
        <v>0.66</v>
      </c>
      <c r="F115" s="2">
        <v>50.0</v>
      </c>
      <c r="G115" s="3">
        <v>44462.87165583333</v>
      </c>
      <c r="H115" s="5">
        <f>IFERROR(__xludf.DUMMYFUNCTION("SPLIT(G115,"","")"),44462.0)</f>
        <v>44462</v>
      </c>
      <c r="I115" s="6">
        <f>IFERROR(__xludf.DUMMYFUNCTION("""COMPUTED_VALUE"""),0.8716550925925926)</f>
        <v>0.8716550926</v>
      </c>
    </row>
    <row r="116">
      <c r="A116" s="2">
        <v>5.27</v>
      </c>
      <c r="B116" s="2">
        <v>229.4</v>
      </c>
      <c r="C116" s="2">
        <v>791.7</v>
      </c>
      <c r="D116" s="2">
        <v>4.95</v>
      </c>
      <c r="E116" s="2">
        <v>0.66</v>
      </c>
      <c r="F116" s="2">
        <v>50.0</v>
      </c>
      <c r="G116" s="3">
        <v>44462.87208862268</v>
      </c>
      <c r="H116" s="5">
        <f>IFERROR(__xludf.DUMMYFUNCTION("SPLIT(G116,"","")"),44462.0)</f>
        <v>44462</v>
      </c>
      <c r="I116" s="6">
        <f>IFERROR(__xludf.DUMMYFUNCTION("""COMPUTED_VALUE"""),0.8720833333333333)</f>
        <v>0.8720833333</v>
      </c>
    </row>
    <row r="117">
      <c r="A117" s="2">
        <v>5.28</v>
      </c>
      <c r="B117" s="2">
        <v>229.3</v>
      </c>
      <c r="C117" s="2">
        <v>792.0</v>
      </c>
      <c r="D117" s="2">
        <v>4.96</v>
      </c>
      <c r="E117" s="2">
        <v>0.65</v>
      </c>
      <c r="F117" s="2">
        <v>50.0</v>
      </c>
      <c r="G117" s="3">
        <v>44462.87219490741</v>
      </c>
      <c r="H117" s="5">
        <f>IFERROR(__xludf.DUMMYFUNCTION("SPLIT(G117,"","")"),44462.0)</f>
        <v>44462</v>
      </c>
      <c r="I117" s="6">
        <f>IFERROR(__xludf.DUMMYFUNCTION("""COMPUTED_VALUE"""),0.872199074074074)</f>
        <v>0.8721990741</v>
      </c>
    </row>
    <row r="118">
      <c r="A118" s="2">
        <v>5.29</v>
      </c>
      <c r="B118" s="2">
        <v>229.3</v>
      </c>
      <c r="C118" s="2">
        <v>792.0</v>
      </c>
      <c r="D118" s="2">
        <v>4.96</v>
      </c>
      <c r="E118" s="2">
        <v>0.65</v>
      </c>
      <c r="F118" s="2">
        <v>50.0</v>
      </c>
      <c r="G118" s="3">
        <v>44462.872300462965</v>
      </c>
      <c r="H118" s="5">
        <f>IFERROR(__xludf.DUMMYFUNCTION("SPLIT(G118,"","")"),44462.0)</f>
        <v>44462</v>
      </c>
      <c r="I118" s="6">
        <f>IFERROR(__xludf.DUMMYFUNCTION("""COMPUTED_VALUE"""),0.8723032407407407)</f>
        <v>0.8723032407</v>
      </c>
    </row>
    <row r="119">
      <c r="A119" s="2">
        <v>5.28</v>
      </c>
      <c r="B119" s="2">
        <v>229.3</v>
      </c>
      <c r="C119" s="2">
        <v>792.0</v>
      </c>
      <c r="D119" s="2">
        <v>4.96</v>
      </c>
      <c r="E119" s="2">
        <v>0.65</v>
      </c>
      <c r="F119" s="2">
        <v>50.0</v>
      </c>
      <c r="G119" s="3">
        <v>44462.87240417824</v>
      </c>
      <c r="H119" s="5">
        <f>IFERROR(__xludf.DUMMYFUNCTION("SPLIT(G119,"","")"),44462.0)</f>
        <v>44462</v>
      </c>
      <c r="I119" s="6">
        <f>IFERROR(__xludf.DUMMYFUNCTION("""COMPUTED_VALUE"""),0.8724074074074074)</f>
        <v>0.8724074074</v>
      </c>
    </row>
    <row r="120">
      <c r="A120" s="2">
        <v>5.27</v>
      </c>
      <c r="B120" s="2">
        <v>229.5</v>
      </c>
      <c r="C120" s="2">
        <v>792.1</v>
      </c>
      <c r="D120" s="2">
        <v>4.96</v>
      </c>
      <c r="E120" s="2">
        <v>0.66</v>
      </c>
      <c r="F120" s="2">
        <v>50.0</v>
      </c>
      <c r="G120" s="3">
        <v>44462.872507430555</v>
      </c>
      <c r="H120" s="5">
        <f>IFERROR(__xludf.DUMMYFUNCTION("SPLIT(G120,"","")"),44462.0)</f>
        <v>44462</v>
      </c>
      <c r="I120" s="6">
        <f>IFERROR(__xludf.DUMMYFUNCTION("""COMPUTED_VALUE"""),0.8725115740740741)</f>
        <v>0.8725115741</v>
      </c>
    </row>
    <row r="121">
      <c r="A121" s="2">
        <v>5.28</v>
      </c>
      <c r="B121" s="2">
        <v>229.5</v>
      </c>
      <c r="C121" s="2">
        <v>792.3</v>
      </c>
      <c r="D121" s="2">
        <v>4.97</v>
      </c>
      <c r="E121" s="2">
        <v>0.65</v>
      </c>
      <c r="F121" s="2">
        <v>50.0</v>
      </c>
      <c r="G121" s="3">
        <v>44462.87261530093</v>
      </c>
      <c r="H121" s="5">
        <f>IFERROR(__xludf.DUMMYFUNCTION("SPLIT(G121,"","")"),44462.0)</f>
        <v>44462</v>
      </c>
      <c r="I121" s="6">
        <f>IFERROR(__xludf.DUMMYFUNCTION("""COMPUTED_VALUE"""),0.8726157407407408)</f>
        <v>0.8726157407</v>
      </c>
    </row>
    <row r="122">
      <c r="A122" s="2">
        <v>5.27</v>
      </c>
      <c r="B122" s="2">
        <v>229.5</v>
      </c>
      <c r="C122" s="2">
        <v>792.2</v>
      </c>
      <c r="D122" s="2">
        <v>4.97</v>
      </c>
      <c r="E122" s="2">
        <v>0.65</v>
      </c>
      <c r="F122" s="2">
        <v>50.0</v>
      </c>
      <c r="G122" s="3">
        <v>44462.87286230324</v>
      </c>
      <c r="H122" s="5">
        <f>IFERROR(__xludf.DUMMYFUNCTION("SPLIT(G122,"","")"),44462.0)</f>
        <v>44462</v>
      </c>
      <c r="I122" s="6">
        <f>IFERROR(__xludf.DUMMYFUNCTION("""COMPUTED_VALUE"""),0.8728587962962963)</f>
        <v>0.8728587963</v>
      </c>
    </row>
    <row r="123">
      <c r="A123" s="2">
        <v>5.3</v>
      </c>
      <c r="B123" s="2">
        <v>229.1</v>
      </c>
      <c r="C123" s="2">
        <v>792.4</v>
      </c>
      <c r="D123" s="2">
        <v>4.97</v>
      </c>
      <c r="E123" s="2">
        <v>0.65</v>
      </c>
      <c r="F123" s="2">
        <v>49.9</v>
      </c>
      <c r="G123" s="3">
        <v>44462.87299600695</v>
      </c>
      <c r="H123" s="5">
        <f>IFERROR(__xludf.DUMMYFUNCTION("SPLIT(G123,"","")"),44462.0)</f>
        <v>44462</v>
      </c>
      <c r="I123" s="6">
        <f>IFERROR(__xludf.DUMMYFUNCTION("""COMPUTED_VALUE"""),0.8729976851851852)</f>
        <v>0.8729976852</v>
      </c>
    </row>
    <row r="124">
      <c r="A124" s="2">
        <v>5.31</v>
      </c>
      <c r="B124" s="2">
        <v>229.0</v>
      </c>
      <c r="C124" s="2">
        <v>792.5</v>
      </c>
      <c r="D124" s="2">
        <v>4.97</v>
      </c>
      <c r="E124" s="2">
        <v>0.65</v>
      </c>
      <c r="F124" s="2">
        <v>49.9</v>
      </c>
      <c r="G124" s="3">
        <v>44462.87312855324</v>
      </c>
      <c r="H124" s="5">
        <f>IFERROR(__xludf.DUMMYFUNCTION("SPLIT(G124,"","")"),44462.0)</f>
        <v>44462</v>
      </c>
      <c r="I124" s="6">
        <f>IFERROR(__xludf.DUMMYFUNCTION("""COMPUTED_VALUE"""),0.873125)</f>
        <v>0.873125</v>
      </c>
    </row>
    <row r="125">
      <c r="A125" s="2">
        <v>5.31</v>
      </c>
      <c r="B125" s="2">
        <v>229.0</v>
      </c>
      <c r="C125" s="2">
        <v>792.5</v>
      </c>
      <c r="D125" s="2">
        <v>4.98</v>
      </c>
      <c r="E125" s="2">
        <v>0.65</v>
      </c>
      <c r="F125" s="2">
        <v>49.9</v>
      </c>
      <c r="G125" s="3">
        <v>44462.873242974536</v>
      </c>
      <c r="H125" s="5">
        <f>IFERROR(__xludf.DUMMYFUNCTION("SPLIT(G125,"","")"),44462.0)</f>
        <v>44462</v>
      </c>
      <c r="I125" s="6">
        <f>IFERROR(__xludf.DUMMYFUNCTION("""COMPUTED_VALUE"""),0.8732407407407408)</f>
        <v>0.8732407407</v>
      </c>
    </row>
    <row r="126">
      <c r="A126" s="2">
        <v>5.29</v>
      </c>
      <c r="B126" s="2">
        <v>229.5</v>
      </c>
      <c r="C126" s="2">
        <v>792.9</v>
      </c>
      <c r="D126" s="2">
        <v>4.98</v>
      </c>
      <c r="E126" s="2">
        <v>0.65</v>
      </c>
      <c r="F126" s="2">
        <v>49.9</v>
      </c>
      <c r="G126" s="3">
        <v>44462.87334824074</v>
      </c>
      <c r="H126" s="5">
        <f>IFERROR(__xludf.DUMMYFUNCTION("SPLIT(G126,"","")"),44462.0)</f>
        <v>44462</v>
      </c>
      <c r="I126" s="6">
        <f>IFERROR(__xludf.DUMMYFUNCTION("""COMPUTED_VALUE"""),0.8733449074074074)</f>
        <v>0.8733449074</v>
      </c>
    </row>
    <row r="127">
      <c r="A127" s="2">
        <v>5.26</v>
      </c>
      <c r="B127" s="2">
        <v>230.0</v>
      </c>
      <c r="C127" s="2">
        <v>792.9</v>
      </c>
      <c r="D127" s="2">
        <v>4.98</v>
      </c>
      <c r="E127" s="2">
        <v>0.65</v>
      </c>
      <c r="F127" s="2">
        <v>50.0</v>
      </c>
      <c r="G127" s="3">
        <v>44462.87346041667</v>
      </c>
      <c r="H127" s="5">
        <f>IFERROR(__xludf.DUMMYFUNCTION("SPLIT(G127,"","")"),44462.0)</f>
        <v>44462</v>
      </c>
      <c r="I127" s="6">
        <f>IFERROR(__xludf.DUMMYFUNCTION("""COMPUTED_VALUE"""),0.8734606481481482)</f>
        <v>0.8734606481</v>
      </c>
    </row>
    <row r="128">
      <c r="A128" s="2">
        <v>5.26</v>
      </c>
      <c r="B128" s="2">
        <v>230.0</v>
      </c>
      <c r="C128" s="2">
        <v>792.9</v>
      </c>
      <c r="D128" s="2">
        <v>4.98</v>
      </c>
      <c r="E128" s="2">
        <v>0.65</v>
      </c>
      <c r="F128" s="2">
        <v>50.0</v>
      </c>
      <c r="G128" s="3">
        <v>44462.87357027778</v>
      </c>
      <c r="H128" s="5">
        <f>IFERROR(__xludf.DUMMYFUNCTION("SPLIT(G128,"","")"),44462.0)</f>
        <v>44462</v>
      </c>
      <c r="I128" s="6">
        <f>IFERROR(__xludf.DUMMYFUNCTION("""COMPUTED_VALUE"""),0.8735648148148148)</f>
        <v>0.8735648148</v>
      </c>
    </row>
    <row r="129">
      <c r="A129" s="2">
        <v>5.26</v>
      </c>
      <c r="B129" s="2">
        <v>230.0</v>
      </c>
      <c r="C129" s="2">
        <v>793.0</v>
      </c>
      <c r="D129" s="2">
        <v>4.99</v>
      </c>
      <c r="E129" s="2">
        <v>0.65</v>
      </c>
      <c r="F129" s="2">
        <v>50.0</v>
      </c>
      <c r="G129" s="3">
        <v>44462.87368068287</v>
      </c>
      <c r="H129" s="5">
        <f>IFERROR(__xludf.DUMMYFUNCTION("SPLIT(G129,"","")"),44462.0)</f>
        <v>44462</v>
      </c>
      <c r="I129" s="6">
        <f>IFERROR(__xludf.DUMMYFUNCTION("""COMPUTED_VALUE"""),0.8736805555555556)</f>
        <v>0.8736805556</v>
      </c>
    </row>
    <row r="130">
      <c r="A130" s="2">
        <v>5.28</v>
      </c>
      <c r="B130" s="2">
        <v>230.0</v>
      </c>
      <c r="C130" s="2">
        <v>793.1</v>
      </c>
      <c r="D130" s="2">
        <v>4.99</v>
      </c>
      <c r="E130" s="2">
        <v>0.65</v>
      </c>
      <c r="F130" s="2">
        <v>50.0</v>
      </c>
      <c r="G130" s="3">
        <v>44462.87379358796</v>
      </c>
      <c r="H130" s="5">
        <f>IFERROR(__xludf.DUMMYFUNCTION("SPLIT(G130,"","")"),44462.0)</f>
        <v>44462</v>
      </c>
      <c r="I130" s="6">
        <f>IFERROR(__xludf.DUMMYFUNCTION("""COMPUTED_VALUE"""),0.8737962962962963)</f>
        <v>0.8737962963</v>
      </c>
    </row>
    <row r="131">
      <c r="A131" s="2">
        <v>5.26</v>
      </c>
      <c r="B131" s="2">
        <v>230.0</v>
      </c>
      <c r="C131" s="2">
        <v>793.2</v>
      </c>
      <c r="D131" s="2">
        <v>4.99</v>
      </c>
      <c r="E131" s="2">
        <v>0.66</v>
      </c>
      <c r="F131" s="2">
        <v>50.0</v>
      </c>
      <c r="G131" s="3">
        <v>44462.87390010417</v>
      </c>
      <c r="H131" s="5">
        <f>IFERROR(__xludf.DUMMYFUNCTION("SPLIT(G131,"","")"),44462.0)</f>
        <v>44462</v>
      </c>
      <c r="I131" s="6">
        <f>IFERROR(__xludf.DUMMYFUNCTION("""COMPUTED_VALUE"""),0.873900462962963)</f>
        <v>0.873900463</v>
      </c>
    </row>
    <row r="132">
      <c r="A132" s="2">
        <v>5.27</v>
      </c>
      <c r="B132" s="2">
        <v>230.0</v>
      </c>
      <c r="C132" s="2">
        <v>793.3</v>
      </c>
      <c r="D132" s="2">
        <v>4.99</v>
      </c>
      <c r="E132" s="2">
        <v>0.65</v>
      </c>
      <c r="F132" s="2">
        <v>50.0</v>
      </c>
      <c r="G132" s="3">
        <v>44462.87400763889</v>
      </c>
      <c r="H132" s="5">
        <f>IFERROR(__xludf.DUMMYFUNCTION("SPLIT(G132,"","")"),44462.0)</f>
        <v>44462</v>
      </c>
      <c r="I132" s="6">
        <f>IFERROR(__xludf.DUMMYFUNCTION("""COMPUTED_VALUE"""),0.8740046296296297)</f>
        <v>0.8740046296</v>
      </c>
    </row>
    <row r="133">
      <c r="A133" s="2">
        <v>5.26</v>
      </c>
      <c r="B133" s="2">
        <v>230.0</v>
      </c>
      <c r="C133" s="2">
        <v>793.3</v>
      </c>
      <c r="D133" s="2">
        <v>4.99</v>
      </c>
      <c r="E133" s="2">
        <v>0.66</v>
      </c>
      <c r="F133" s="2">
        <v>50.0</v>
      </c>
      <c r="G133" s="3">
        <v>44462.87411662037</v>
      </c>
      <c r="H133" s="5">
        <f>IFERROR(__xludf.DUMMYFUNCTION("SPLIT(G133,"","")"),44462.0)</f>
        <v>44462</v>
      </c>
      <c r="I133" s="6">
        <f>IFERROR(__xludf.DUMMYFUNCTION("""COMPUTED_VALUE"""),0.8741203703703704)</f>
        <v>0.8741203704</v>
      </c>
    </row>
    <row r="134">
      <c r="A134" s="2">
        <v>5.27</v>
      </c>
      <c r="B134" s="2">
        <v>230.0</v>
      </c>
      <c r="C134" s="2">
        <v>793.4</v>
      </c>
      <c r="D134" s="2">
        <v>5.0</v>
      </c>
      <c r="E134" s="2">
        <v>0.65</v>
      </c>
      <c r="F134" s="2">
        <v>50.0</v>
      </c>
      <c r="G134" s="3">
        <v>44462.87422789352</v>
      </c>
      <c r="H134" s="5">
        <f>IFERROR(__xludf.DUMMYFUNCTION("SPLIT(G134,"","")"),44462.0)</f>
        <v>44462</v>
      </c>
      <c r="I134" s="6">
        <f>IFERROR(__xludf.DUMMYFUNCTION("""COMPUTED_VALUE"""),0.8742245370370371)</f>
        <v>0.874224537</v>
      </c>
    </row>
    <row r="135">
      <c r="A135" s="2">
        <v>5.27</v>
      </c>
      <c r="B135" s="2">
        <v>229.9</v>
      </c>
      <c r="C135" s="2">
        <v>793.5</v>
      </c>
      <c r="D135" s="2">
        <v>5.0</v>
      </c>
      <c r="E135" s="2">
        <v>0.66</v>
      </c>
      <c r="F135" s="2">
        <v>50.0</v>
      </c>
      <c r="G135" s="3">
        <v>44462.874333009255</v>
      </c>
      <c r="H135" s="5">
        <f>IFERROR(__xludf.DUMMYFUNCTION("SPLIT(G135,"","")"),44462.0)</f>
        <v>44462</v>
      </c>
      <c r="I135" s="6">
        <f>IFERROR(__xludf.DUMMYFUNCTION("""COMPUTED_VALUE"""),0.8743287037037037)</f>
        <v>0.8743287037</v>
      </c>
    </row>
    <row r="136">
      <c r="A136" s="2">
        <v>5.27</v>
      </c>
      <c r="B136" s="2">
        <v>230.0</v>
      </c>
      <c r="C136" s="2">
        <v>793.5</v>
      </c>
      <c r="D136" s="2">
        <v>5.0</v>
      </c>
      <c r="E136" s="2">
        <v>0.65</v>
      </c>
      <c r="F136" s="2">
        <v>50.0</v>
      </c>
      <c r="G136" s="3">
        <v>44462.8744380787</v>
      </c>
      <c r="H136" s="5">
        <f>IFERROR(__xludf.DUMMYFUNCTION("SPLIT(G136,"","")"),44462.0)</f>
        <v>44462</v>
      </c>
      <c r="I136" s="6">
        <f>IFERROR(__xludf.DUMMYFUNCTION("""COMPUTED_VALUE"""),0.8744328703703703)</f>
        <v>0.8744328704</v>
      </c>
    </row>
    <row r="137">
      <c r="A137" s="2">
        <v>5.28</v>
      </c>
      <c r="B137" s="2">
        <v>229.9</v>
      </c>
      <c r="C137" s="2">
        <v>793.7</v>
      </c>
      <c r="D137" s="2">
        <v>5.0</v>
      </c>
      <c r="E137" s="2">
        <v>0.65</v>
      </c>
      <c r="F137" s="2">
        <v>50.0</v>
      </c>
      <c r="G137" s="3">
        <v>44462.87455836806</v>
      </c>
      <c r="H137" s="5">
        <f>IFERROR(__xludf.DUMMYFUNCTION("SPLIT(G137,"","")"),44462.0)</f>
        <v>44462</v>
      </c>
      <c r="I137" s="6">
        <f>IFERROR(__xludf.DUMMYFUNCTION("""COMPUTED_VALUE"""),0.8745601851851852)</f>
        <v>0.8745601852</v>
      </c>
    </row>
    <row r="138">
      <c r="A138" s="2">
        <v>5.27</v>
      </c>
      <c r="B138" s="2">
        <v>229.8</v>
      </c>
      <c r="C138" s="2">
        <v>793.6</v>
      </c>
      <c r="D138" s="2">
        <v>5.0</v>
      </c>
      <c r="E138" s="2">
        <v>0.65</v>
      </c>
      <c r="F138" s="2">
        <v>49.9</v>
      </c>
      <c r="G138" s="3">
        <v>44462.87466883102</v>
      </c>
      <c r="H138" s="5">
        <f>IFERROR(__xludf.DUMMYFUNCTION("SPLIT(G138,"","")"),44462.0)</f>
        <v>44462</v>
      </c>
      <c r="I138" s="6">
        <f>IFERROR(__xludf.DUMMYFUNCTION("""COMPUTED_VALUE"""),0.8746643518518519)</f>
        <v>0.8746643519</v>
      </c>
    </row>
    <row r="139">
      <c r="A139" s="2">
        <v>5.26</v>
      </c>
      <c r="B139" s="2">
        <v>230.0</v>
      </c>
      <c r="C139" s="2">
        <v>793.9</v>
      </c>
      <c r="D139" s="2">
        <v>5.01</v>
      </c>
      <c r="E139" s="2">
        <v>0.66</v>
      </c>
      <c r="F139" s="2">
        <v>49.9</v>
      </c>
      <c r="G139" s="3">
        <v>44462.87477925926</v>
      </c>
      <c r="H139" s="5">
        <f>IFERROR(__xludf.DUMMYFUNCTION("SPLIT(G139,"","")"),44462.0)</f>
        <v>44462</v>
      </c>
      <c r="I139" s="6">
        <f>IFERROR(__xludf.DUMMYFUNCTION("""COMPUTED_VALUE"""),0.8747800925925926)</f>
        <v>0.8747800926</v>
      </c>
    </row>
    <row r="140">
      <c r="A140" s="2">
        <v>5.24</v>
      </c>
      <c r="B140" s="2">
        <v>230.4</v>
      </c>
      <c r="C140" s="2">
        <v>793.8</v>
      </c>
      <c r="D140" s="2">
        <v>5.01</v>
      </c>
      <c r="E140" s="2">
        <v>0.66</v>
      </c>
      <c r="F140" s="2">
        <v>50.0</v>
      </c>
      <c r="G140" s="3">
        <v>44462.87488012732</v>
      </c>
      <c r="H140" s="5">
        <f>IFERROR(__xludf.DUMMYFUNCTION("SPLIT(G140,"","")"),44462.0)</f>
        <v>44462</v>
      </c>
      <c r="I140" s="6">
        <f>IFERROR(__xludf.DUMMYFUNCTION("""COMPUTED_VALUE"""),0.8748842592592593)</f>
        <v>0.8748842593</v>
      </c>
    </row>
    <row r="141">
      <c r="A141" s="2">
        <v>5.25</v>
      </c>
      <c r="B141" s="2">
        <v>230.5</v>
      </c>
      <c r="C141" s="2">
        <v>794.0</v>
      </c>
      <c r="D141" s="2">
        <v>5.01</v>
      </c>
      <c r="E141" s="2">
        <v>0.66</v>
      </c>
      <c r="F141" s="2">
        <v>50.0</v>
      </c>
      <c r="G141" s="3">
        <v>44462.87498247685</v>
      </c>
      <c r="H141" s="5">
        <f>IFERROR(__xludf.DUMMYFUNCTION("SPLIT(G141,"","")"),44462.0)</f>
        <v>44462</v>
      </c>
      <c r="I141" s="6">
        <f>IFERROR(__xludf.DUMMYFUNCTION("""COMPUTED_VALUE"""),0.8749768518518518)</f>
        <v>0.8749768519</v>
      </c>
    </row>
    <row r="142">
      <c r="A142" s="2">
        <v>5.24</v>
      </c>
      <c r="B142" s="2">
        <v>230.4</v>
      </c>
      <c r="C142" s="2">
        <v>794.0</v>
      </c>
      <c r="D142" s="2">
        <v>5.01</v>
      </c>
      <c r="E142" s="2">
        <v>0.66</v>
      </c>
      <c r="F142" s="2">
        <v>50.0</v>
      </c>
      <c r="G142" s="3">
        <v>44462.87510561342</v>
      </c>
      <c r="H142" s="5">
        <f>IFERROR(__xludf.DUMMYFUNCTION("SPLIT(G142,"","")"),44462.0)</f>
        <v>44462</v>
      </c>
      <c r="I142" s="6">
        <f>IFERROR(__xludf.DUMMYFUNCTION("""COMPUTED_VALUE"""),0.8751041666666667)</f>
        <v>0.8751041667</v>
      </c>
    </row>
    <row r="143">
      <c r="A143" s="2">
        <v>5.23</v>
      </c>
      <c r="B143" s="2">
        <v>230.5</v>
      </c>
      <c r="C143" s="2">
        <v>794.1</v>
      </c>
      <c r="D143" s="2">
        <v>5.01</v>
      </c>
      <c r="E143" s="2">
        <v>0.66</v>
      </c>
      <c r="F143" s="2">
        <v>50.0</v>
      </c>
      <c r="G143" s="3">
        <v>44462.87520938658</v>
      </c>
      <c r="H143" s="5">
        <f>IFERROR(__xludf.DUMMYFUNCTION("SPLIT(G143,"","")"),44462.0)</f>
        <v>44462</v>
      </c>
      <c r="I143" s="6">
        <f>IFERROR(__xludf.DUMMYFUNCTION("""COMPUTED_VALUE"""),0.8752083333333334)</f>
        <v>0.8752083333</v>
      </c>
    </row>
    <row r="144">
      <c r="A144" s="2">
        <v>5.23</v>
      </c>
      <c r="B144" s="2">
        <v>230.5</v>
      </c>
      <c r="C144" s="2">
        <v>794.1</v>
      </c>
      <c r="D144" s="2">
        <v>5.02</v>
      </c>
      <c r="E144" s="2">
        <v>0.66</v>
      </c>
      <c r="F144" s="2">
        <v>50.0</v>
      </c>
      <c r="G144" s="3">
        <v>44462.875315196754</v>
      </c>
      <c r="H144" s="5">
        <f>IFERROR(__xludf.DUMMYFUNCTION("SPLIT(G144,"","")"),44462.0)</f>
        <v>44462</v>
      </c>
      <c r="I144" s="6">
        <f>IFERROR(__xludf.DUMMYFUNCTION("""COMPUTED_VALUE"""),0.8753125)</f>
        <v>0.8753125</v>
      </c>
    </row>
    <row r="145">
      <c r="A145" s="2">
        <v>5.24</v>
      </c>
      <c r="B145" s="2">
        <v>230.4</v>
      </c>
      <c r="C145" s="2">
        <v>794.2</v>
      </c>
      <c r="D145" s="2">
        <v>5.02</v>
      </c>
      <c r="E145" s="2">
        <v>0.66</v>
      </c>
      <c r="F145" s="2">
        <v>50.0</v>
      </c>
      <c r="G145" s="3">
        <v>44462.87541951389</v>
      </c>
      <c r="H145" s="5">
        <f>IFERROR(__xludf.DUMMYFUNCTION("SPLIT(G145,"","")"),44462.0)</f>
        <v>44462</v>
      </c>
      <c r="I145" s="6">
        <f>IFERROR(__xludf.DUMMYFUNCTION("""COMPUTED_VALUE"""),0.8754166666666666)</f>
        <v>0.8754166667</v>
      </c>
    </row>
    <row r="146">
      <c r="A146" s="2">
        <v>5.24</v>
      </c>
      <c r="B146" s="2">
        <v>230.3</v>
      </c>
      <c r="C146" s="2">
        <v>794.3</v>
      </c>
      <c r="D146" s="2">
        <v>5.02</v>
      </c>
      <c r="E146" s="2">
        <v>0.66</v>
      </c>
      <c r="F146" s="2">
        <v>50.0</v>
      </c>
      <c r="G146" s="3">
        <v>44462.87552543981</v>
      </c>
      <c r="H146" s="5">
        <f>IFERROR(__xludf.DUMMYFUNCTION("SPLIT(G146,"","")"),44462.0)</f>
        <v>44462</v>
      </c>
      <c r="I146" s="6">
        <f>IFERROR(__xludf.DUMMYFUNCTION("""COMPUTED_VALUE"""),0.8755208333333333)</f>
        <v>0.8755208333</v>
      </c>
    </row>
    <row r="147">
      <c r="A147" s="2">
        <v>5.24</v>
      </c>
      <c r="B147" s="2">
        <v>230.2</v>
      </c>
      <c r="C147" s="2">
        <v>794.3</v>
      </c>
      <c r="D147" s="2">
        <v>5.02</v>
      </c>
      <c r="E147" s="2">
        <v>0.66</v>
      </c>
      <c r="F147" s="2">
        <v>49.9</v>
      </c>
      <c r="G147" s="3">
        <v>44462.875628587964</v>
      </c>
      <c r="H147" s="5">
        <f>IFERROR(__xludf.DUMMYFUNCTION("SPLIT(G147,"","")"),44462.0)</f>
        <v>44462</v>
      </c>
      <c r="I147" s="6">
        <f>IFERROR(__xludf.DUMMYFUNCTION("""COMPUTED_VALUE"""),0.875625)</f>
        <v>0.875625</v>
      </c>
    </row>
    <row r="148">
      <c r="A148" s="2">
        <v>5.24</v>
      </c>
      <c r="B148" s="2">
        <v>230.3</v>
      </c>
      <c r="C148" s="2">
        <v>794.3</v>
      </c>
      <c r="D148" s="2">
        <v>5.02</v>
      </c>
      <c r="E148" s="2">
        <v>0.66</v>
      </c>
      <c r="F148" s="2">
        <v>49.9</v>
      </c>
      <c r="G148" s="3">
        <v>44462.875734814814</v>
      </c>
      <c r="H148" s="5">
        <f>IFERROR(__xludf.DUMMYFUNCTION("SPLIT(G148,"","")"),44462.0)</f>
        <v>44462</v>
      </c>
      <c r="I148" s="6">
        <f>IFERROR(__xludf.DUMMYFUNCTION("""COMPUTED_VALUE"""),0.8757291666666667)</f>
        <v>0.8757291667</v>
      </c>
    </row>
    <row r="149">
      <c r="A149" s="2">
        <v>5.24</v>
      </c>
      <c r="B149" s="2">
        <v>230.3</v>
      </c>
      <c r="C149" s="2">
        <v>794.4</v>
      </c>
      <c r="D149" s="2">
        <v>5.03</v>
      </c>
      <c r="E149" s="2">
        <v>0.66</v>
      </c>
      <c r="F149" s="2">
        <v>49.9</v>
      </c>
      <c r="G149" s="3">
        <v>44462.87584165509</v>
      </c>
      <c r="H149" s="5">
        <f>IFERROR(__xludf.DUMMYFUNCTION("SPLIT(G149,"","")"),44462.0)</f>
        <v>44462</v>
      </c>
      <c r="I149" s="6">
        <f>IFERROR(__xludf.DUMMYFUNCTION("""COMPUTED_VALUE"""),0.8758449074074074)</f>
        <v>0.8758449074</v>
      </c>
    </row>
    <row r="150">
      <c r="A150" s="2">
        <v>5.27</v>
      </c>
      <c r="B150" s="2">
        <v>229.7</v>
      </c>
      <c r="C150" s="2">
        <v>794.4</v>
      </c>
      <c r="D150" s="2">
        <v>5.03</v>
      </c>
      <c r="E150" s="2">
        <v>0.66</v>
      </c>
      <c r="F150" s="2">
        <v>49.9</v>
      </c>
      <c r="G150" s="3">
        <v>44462.87595087963</v>
      </c>
      <c r="H150" s="5">
        <f>IFERROR(__xludf.DUMMYFUNCTION("SPLIT(G150,"","")"),44462.0)</f>
        <v>44462</v>
      </c>
      <c r="I150" s="6">
        <f>IFERROR(__xludf.DUMMYFUNCTION("""COMPUTED_VALUE"""),0.8759490740740741)</f>
        <v>0.8759490741</v>
      </c>
    </row>
    <row r="151">
      <c r="A151" s="2">
        <v>5.27</v>
      </c>
      <c r="B151" s="2">
        <v>229.5</v>
      </c>
      <c r="C151" s="2">
        <v>794.4</v>
      </c>
      <c r="D151" s="2">
        <v>5.03</v>
      </c>
      <c r="E151" s="2">
        <v>0.66</v>
      </c>
      <c r="F151" s="2">
        <v>50.0</v>
      </c>
      <c r="G151" s="3">
        <v>44462.876051875</v>
      </c>
      <c r="H151" s="5">
        <f>IFERROR(__xludf.DUMMYFUNCTION("SPLIT(G151,"","")"),44462.0)</f>
        <v>44462</v>
      </c>
      <c r="I151" s="6">
        <f>IFERROR(__xludf.DUMMYFUNCTION("""COMPUTED_VALUE"""),0.8760532407407408)</f>
        <v>0.8760532407</v>
      </c>
    </row>
    <row r="152">
      <c r="A152" s="2">
        <v>5.27</v>
      </c>
      <c r="B152" s="2">
        <v>229.7</v>
      </c>
      <c r="C152" s="2">
        <v>794.5</v>
      </c>
      <c r="D152" s="2">
        <v>5.03</v>
      </c>
      <c r="E152" s="2">
        <v>0.66</v>
      </c>
      <c r="F152" s="2">
        <v>50.0</v>
      </c>
      <c r="G152" s="3">
        <v>44462.87616071759</v>
      </c>
      <c r="H152" s="5">
        <f>IFERROR(__xludf.DUMMYFUNCTION("SPLIT(G152,"","")"),44462.0)</f>
        <v>44462</v>
      </c>
      <c r="I152" s="6">
        <f>IFERROR(__xludf.DUMMYFUNCTION("""COMPUTED_VALUE"""),0.8761574074074074)</f>
        <v>0.8761574074</v>
      </c>
    </row>
    <row r="153">
      <c r="A153" s="2">
        <v>5.28</v>
      </c>
      <c r="B153" s="2">
        <v>229.7</v>
      </c>
      <c r="C153" s="2">
        <v>794.7</v>
      </c>
      <c r="D153" s="2">
        <v>5.03</v>
      </c>
      <c r="E153" s="2">
        <v>0.66</v>
      </c>
      <c r="F153" s="2">
        <v>50.0</v>
      </c>
      <c r="G153" s="3">
        <v>44462.87626898148</v>
      </c>
      <c r="H153" s="5">
        <f>IFERROR(__xludf.DUMMYFUNCTION("SPLIT(G153,"","")"),44462.0)</f>
        <v>44462</v>
      </c>
      <c r="I153" s="6">
        <f>IFERROR(__xludf.DUMMYFUNCTION("""COMPUTED_VALUE"""),0.8762731481481482)</f>
        <v>0.8762731481</v>
      </c>
    </row>
    <row r="154">
      <c r="A154" s="2">
        <v>5.27</v>
      </c>
      <c r="B154" s="2">
        <v>229.8</v>
      </c>
      <c r="C154" s="2">
        <v>794.7</v>
      </c>
      <c r="D154" s="2">
        <v>5.04</v>
      </c>
      <c r="E154" s="2">
        <v>0.66</v>
      </c>
      <c r="F154" s="2">
        <v>50.0</v>
      </c>
      <c r="G154" s="3">
        <v>44462.87637979166</v>
      </c>
      <c r="H154" s="5">
        <f>IFERROR(__xludf.DUMMYFUNCTION("SPLIT(G154,"","")"),44462.0)</f>
        <v>44462</v>
      </c>
      <c r="I154" s="6">
        <f>IFERROR(__xludf.DUMMYFUNCTION("""COMPUTED_VALUE"""),0.8763773148148148)</f>
        <v>0.8763773148</v>
      </c>
    </row>
    <row r="155">
      <c r="A155" s="2">
        <v>5.28</v>
      </c>
      <c r="B155" s="2">
        <v>229.7</v>
      </c>
      <c r="C155" s="2">
        <v>794.7</v>
      </c>
      <c r="D155" s="2">
        <v>5.04</v>
      </c>
      <c r="E155" s="2">
        <v>0.65</v>
      </c>
      <c r="F155" s="2">
        <v>50.0</v>
      </c>
      <c r="G155" s="3">
        <v>44462.87648651621</v>
      </c>
      <c r="H155" s="5">
        <f>IFERROR(__xludf.DUMMYFUNCTION("SPLIT(G155,"","")"),44462.0)</f>
        <v>44462</v>
      </c>
      <c r="I155" s="6">
        <f>IFERROR(__xludf.DUMMYFUNCTION("""COMPUTED_VALUE"""),0.8764814814814815)</f>
        <v>0.8764814815</v>
      </c>
    </row>
    <row r="156">
      <c r="A156" s="2">
        <v>5.29</v>
      </c>
      <c r="B156" s="2">
        <v>229.7</v>
      </c>
      <c r="C156" s="2">
        <v>794.7</v>
      </c>
      <c r="D156" s="2">
        <v>5.04</v>
      </c>
      <c r="E156" s="2">
        <v>0.65</v>
      </c>
      <c r="F156" s="2">
        <v>50.0</v>
      </c>
      <c r="G156" s="3">
        <v>44462.87673984954</v>
      </c>
      <c r="H156" s="5">
        <f>IFERROR(__xludf.DUMMYFUNCTION("SPLIT(G156,"","")"),44462.0)</f>
        <v>44462</v>
      </c>
      <c r="I156" s="6">
        <f>IFERROR(__xludf.DUMMYFUNCTION("""COMPUTED_VALUE"""),0.8767361111111112)</f>
        <v>0.8767361111</v>
      </c>
    </row>
    <row r="157">
      <c r="A157" s="2">
        <v>5.29</v>
      </c>
      <c r="B157" s="2">
        <v>229.7</v>
      </c>
      <c r="C157" s="2">
        <v>794.9</v>
      </c>
      <c r="D157" s="2">
        <v>5.05</v>
      </c>
      <c r="E157" s="2">
        <v>0.65</v>
      </c>
      <c r="F157" s="2">
        <v>50.0</v>
      </c>
      <c r="G157" s="3">
        <v>44462.87684832176</v>
      </c>
      <c r="H157" s="5">
        <f>IFERROR(__xludf.DUMMYFUNCTION("SPLIT(G157,"","")"),44462.0)</f>
        <v>44462</v>
      </c>
      <c r="I157" s="6">
        <f>IFERROR(__xludf.DUMMYFUNCTION("""COMPUTED_VALUE"""),0.8768518518518519)</f>
        <v>0.8768518519</v>
      </c>
    </row>
    <row r="158">
      <c r="A158" s="2">
        <v>5.29</v>
      </c>
      <c r="B158" s="2">
        <v>229.8</v>
      </c>
      <c r="C158" s="2">
        <v>794.9</v>
      </c>
      <c r="D158" s="2">
        <v>5.05</v>
      </c>
      <c r="E158" s="2">
        <v>0.65</v>
      </c>
      <c r="F158" s="2">
        <v>50.0</v>
      </c>
      <c r="G158" s="3">
        <v>44462.87694957176</v>
      </c>
      <c r="H158" s="5">
        <f>IFERROR(__xludf.DUMMYFUNCTION("SPLIT(G158,"","")"),44462.0)</f>
        <v>44462</v>
      </c>
      <c r="I158" s="6">
        <f>IFERROR(__xludf.DUMMYFUNCTION("""COMPUTED_VALUE"""),0.8769444444444444)</f>
        <v>0.8769444444</v>
      </c>
    </row>
    <row r="159">
      <c r="A159" s="2">
        <v>5.3</v>
      </c>
      <c r="B159" s="2">
        <v>229.8</v>
      </c>
      <c r="C159" s="2">
        <v>795.0</v>
      </c>
      <c r="D159" s="2">
        <v>5.05</v>
      </c>
      <c r="E159" s="2">
        <v>0.65</v>
      </c>
      <c r="F159" s="2">
        <v>50.0</v>
      </c>
      <c r="G159" s="3">
        <v>44462.87705747686</v>
      </c>
      <c r="H159" s="5">
        <f>IFERROR(__xludf.DUMMYFUNCTION("SPLIT(G159,"","")"),44462.0)</f>
        <v>44462</v>
      </c>
      <c r="I159" s="6">
        <f>IFERROR(__xludf.DUMMYFUNCTION("""COMPUTED_VALUE"""),0.8770601851851851)</f>
        <v>0.8770601852</v>
      </c>
    </row>
    <row r="160">
      <c r="A160" s="2">
        <v>5.29</v>
      </c>
      <c r="B160" s="2">
        <v>229.7</v>
      </c>
      <c r="C160" s="2">
        <v>795.1</v>
      </c>
      <c r="D160" s="2">
        <v>5.05</v>
      </c>
      <c r="E160" s="2">
        <v>0.65</v>
      </c>
      <c r="F160" s="2">
        <v>50.0</v>
      </c>
      <c r="G160" s="3">
        <v>44462.877168437495</v>
      </c>
      <c r="H160" s="5">
        <f>IFERROR(__xludf.DUMMYFUNCTION("SPLIT(G160,"","")"),44462.0)</f>
        <v>44462</v>
      </c>
      <c r="I160" s="6">
        <f>IFERROR(__xludf.DUMMYFUNCTION("""COMPUTED_VALUE"""),0.8771643518518518)</f>
        <v>0.8771643519</v>
      </c>
    </row>
    <row r="161">
      <c r="A161" s="2">
        <v>5.29</v>
      </c>
      <c r="B161" s="2">
        <v>229.7</v>
      </c>
      <c r="C161" s="2">
        <v>795.2</v>
      </c>
      <c r="D161" s="2">
        <v>5.05</v>
      </c>
      <c r="E161" s="2">
        <v>0.65</v>
      </c>
      <c r="F161" s="2">
        <v>50.0</v>
      </c>
      <c r="G161" s="3">
        <v>44462.87727435185</v>
      </c>
      <c r="H161" s="5">
        <f>IFERROR(__xludf.DUMMYFUNCTION("SPLIT(G161,"","")"),44462.0)</f>
        <v>44462</v>
      </c>
      <c r="I161" s="6">
        <f>IFERROR(__xludf.DUMMYFUNCTION("""COMPUTED_VALUE"""),0.8772800925925925)</f>
        <v>0.8772800926</v>
      </c>
    </row>
    <row r="162">
      <c r="A162" s="2">
        <v>5.3</v>
      </c>
      <c r="B162" s="2">
        <v>229.8</v>
      </c>
      <c r="C162" s="2">
        <v>795.3</v>
      </c>
      <c r="D162" s="2">
        <v>5.06</v>
      </c>
      <c r="E162" s="2">
        <v>0.65</v>
      </c>
      <c r="F162" s="2">
        <v>50.0</v>
      </c>
      <c r="G162" s="3">
        <v>44462.87738505787</v>
      </c>
      <c r="H162" s="5">
        <f>IFERROR(__xludf.DUMMYFUNCTION("SPLIT(G162,"","")"),44462.0)</f>
        <v>44462</v>
      </c>
      <c r="I162" s="6">
        <f>IFERROR(__xludf.DUMMYFUNCTION("""COMPUTED_VALUE"""),0.8773842592592592)</f>
        <v>0.8773842593</v>
      </c>
    </row>
    <row r="163">
      <c r="A163" s="2">
        <v>5.29</v>
      </c>
      <c r="B163" s="2">
        <v>229.7</v>
      </c>
      <c r="C163" s="2">
        <v>795.2</v>
      </c>
      <c r="D163" s="2">
        <v>5.06</v>
      </c>
      <c r="E163" s="2">
        <v>0.65</v>
      </c>
      <c r="F163" s="2">
        <v>50.0</v>
      </c>
      <c r="G163" s="3">
        <v>44462.87749491898</v>
      </c>
      <c r="H163" s="5">
        <f>IFERROR(__xludf.DUMMYFUNCTION("SPLIT(G163,"","")"),44462.0)</f>
        <v>44462</v>
      </c>
      <c r="I163" s="6">
        <f>IFERROR(__xludf.DUMMYFUNCTION("""COMPUTED_VALUE"""),0.8775)</f>
        <v>0.8775</v>
      </c>
    </row>
    <row r="164">
      <c r="A164" s="2">
        <v>5.29</v>
      </c>
      <c r="B164" s="2">
        <v>229.7</v>
      </c>
      <c r="C164" s="2">
        <v>795.4</v>
      </c>
      <c r="D164" s="2">
        <v>5.06</v>
      </c>
      <c r="E164" s="2">
        <v>0.65</v>
      </c>
      <c r="F164" s="2">
        <v>50.0</v>
      </c>
      <c r="G164" s="3">
        <v>44462.877601631946</v>
      </c>
      <c r="H164" s="5">
        <f>IFERROR(__xludf.DUMMYFUNCTION("SPLIT(G164,"","")"),44462.0)</f>
        <v>44462</v>
      </c>
      <c r="I164" s="6">
        <f>IFERROR(__xludf.DUMMYFUNCTION("""COMPUTED_VALUE"""),0.8776041666666666)</f>
        <v>0.8776041667</v>
      </c>
    </row>
    <row r="165">
      <c r="A165" s="2">
        <v>5.29</v>
      </c>
      <c r="B165" s="2">
        <v>229.8</v>
      </c>
      <c r="C165" s="2">
        <v>795.4</v>
      </c>
      <c r="D165" s="2">
        <v>5.06</v>
      </c>
      <c r="E165" s="2">
        <v>0.65</v>
      </c>
      <c r="F165" s="2">
        <v>50.0</v>
      </c>
      <c r="G165" s="3">
        <v>44462.877705983796</v>
      </c>
      <c r="H165" s="5">
        <f>IFERROR(__xludf.DUMMYFUNCTION("SPLIT(G165,"","")"),44462.0)</f>
        <v>44462</v>
      </c>
      <c r="I165" s="6">
        <f>IFERROR(__xludf.DUMMYFUNCTION("""COMPUTED_VALUE"""),0.8777083333333333)</f>
        <v>0.8777083333</v>
      </c>
    </row>
    <row r="166">
      <c r="A166" s="2">
        <v>5.26</v>
      </c>
      <c r="B166" s="2">
        <v>230.2</v>
      </c>
      <c r="C166" s="2">
        <v>795.6</v>
      </c>
      <c r="D166" s="2">
        <v>5.06</v>
      </c>
      <c r="E166" s="2">
        <v>0.66</v>
      </c>
      <c r="F166" s="2">
        <v>50.0</v>
      </c>
      <c r="G166" s="3">
        <v>44462.87781395833</v>
      </c>
      <c r="H166" s="5">
        <f>IFERROR(__xludf.DUMMYFUNCTION("SPLIT(G166,"","")"),44462.0)</f>
        <v>44462</v>
      </c>
      <c r="I166" s="6">
        <f>IFERROR(__xludf.DUMMYFUNCTION("""COMPUTED_VALUE"""),0.8778125)</f>
        <v>0.8778125</v>
      </c>
    </row>
    <row r="167">
      <c r="A167" s="2">
        <v>5.26</v>
      </c>
      <c r="B167" s="2">
        <v>230.2</v>
      </c>
      <c r="C167" s="2">
        <v>795.6</v>
      </c>
      <c r="D167" s="2">
        <v>5.07</v>
      </c>
      <c r="E167" s="2">
        <v>0.66</v>
      </c>
      <c r="F167" s="2">
        <v>50.0</v>
      </c>
      <c r="G167" s="3">
        <v>44462.8779241088</v>
      </c>
      <c r="H167" s="5">
        <f>IFERROR(__xludf.DUMMYFUNCTION("SPLIT(G167,"","")"),44462.0)</f>
        <v>44462</v>
      </c>
      <c r="I167" s="6">
        <f>IFERROR(__xludf.DUMMYFUNCTION("""COMPUTED_VALUE"""),0.8779282407407407)</f>
        <v>0.8779282407</v>
      </c>
    </row>
    <row r="168">
      <c r="A168" s="2">
        <v>5.26</v>
      </c>
      <c r="B168" s="2">
        <v>230.3</v>
      </c>
      <c r="C168" s="2">
        <v>795.7</v>
      </c>
      <c r="D168" s="2">
        <v>5.07</v>
      </c>
      <c r="E168" s="2">
        <v>0.66</v>
      </c>
      <c r="F168" s="2">
        <v>50.0</v>
      </c>
      <c r="G168" s="3">
        <v>44462.87803504629</v>
      </c>
      <c r="H168" s="5">
        <f>IFERROR(__xludf.DUMMYFUNCTION("SPLIT(G168,"","")"),44462.0)</f>
        <v>44462</v>
      </c>
      <c r="I168" s="6">
        <f>IFERROR(__xludf.DUMMYFUNCTION("""COMPUTED_VALUE"""),0.8780324074074074)</f>
        <v>0.8780324074</v>
      </c>
    </row>
    <row r="169">
      <c r="A169" s="2">
        <v>5.26</v>
      </c>
      <c r="B169" s="2">
        <v>230.3</v>
      </c>
      <c r="C169" s="2">
        <v>795.8</v>
      </c>
      <c r="D169" s="2">
        <v>5.07</v>
      </c>
      <c r="E169" s="2">
        <v>0.66</v>
      </c>
      <c r="F169" s="2">
        <v>50.0</v>
      </c>
      <c r="G169" s="3">
        <v>44462.87814527778</v>
      </c>
      <c r="H169" s="5">
        <f>IFERROR(__xludf.DUMMYFUNCTION("SPLIT(G169,"","")"),44462.0)</f>
        <v>44462</v>
      </c>
      <c r="I169" s="6">
        <f>IFERROR(__xludf.DUMMYFUNCTION("""COMPUTED_VALUE"""),0.8781481481481481)</f>
        <v>0.8781481481</v>
      </c>
    </row>
    <row r="170">
      <c r="A170" s="2">
        <v>5.25</v>
      </c>
      <c r="B170" s="2">
        <v>230.5</v>
      </c>
      <c r="C170" s="2">
        <v>795.9</v>
      </c>
      <c r="D170" s="2">
        <v>5.07</v>
      </c>
      <c r="E170" s="2">
        <v>0.66</v>
      </c>
      <c r="F170" s="2">
        <v>50.0</v>
      </c>
      <c r="G170" s="3">
        <v>44462.878247870365</v>
      </c>
      <c r="H170" s="5">
        <f>IFERROR(__xludf.DUMMYFUNCTION("SPLIT(G170,"","")"),44462.0)</f>
        <v>44462</v>
      </c>
      <c r="I170" s="6">
        <f>IFERROR(__xludf.DUMMYFUNCTION("""COMPUTED_VALUE"""),0.8782523148148148)</f>
        <v>0.8782523148</v>
      </c>
    </row>
    <row r="171">
      <c r="A171" s="2">
        <v>5.25</v>
      </c>
      <c r="B171" s="2">
        <v>230.5</v>
      </c>
      <c r="C171" s="2">
        <v>795.9</v>
      </c>
      <c r="D171" s="2">
        <v>5.07</v>
      </c>
      <c r="E171" s="2">
        <v>0.66</v>
      </c>
      <c r="F171" s="2">
        <v>50.0</v>
      </c>
      <c r="G171" s="3">
        <v>44462.87835450232</v>
      </c>
      <c r="H171" s="5">
        <f>IFERROR(__xludf.DUMMYFUNCTION("SPLIT(G171,"","")"),44462.0)</f>
        <v>44462</v>
      </c>
      <c r="I171" s="6">
        <f>IFERROR(__xludf.DUMMYFUNCTION("""COMPUTED_VALUE"""),0.8783564814814815)</f>
        <v>0.8783564815</v>
      </c>
    </row>
    <row r="172">
      <c r="A172" s="2">
        <v>5.26</v>
      </c>
      <c r="B172" s="2">
        <v>230.4</v>
      </c>
      <c r="C172" s="2">
        <v>796.0</v>
      </c>
      <c r="D172" s="2">
        <v>5.08</v>
      </c>
      <c r="E172" s="2">
        <v>0.66</v>
      </c>
      <c r="F172" s="2">
        <v>50.0</v>
      </c>
      <c r="G172" s="3">
        <v>44462.87845408564</v>
      </c>
      <c r="H172" s="5">
        <f>IFERROR(__xludf.DUMMYFUNCTION("SPLIT(G172,"","")"),44462.0)</f>
        <v>44462</v>
      </c>
      <c r="I172" s="6">
        <f>IFERROR(__xludf.DUMMYFUNCTION("""COMPUTED_VALUE"""),0.878449074074074)</f>
        <v>0.8784490741</v>
      </c>
    </row>
    <row r="173">
      <c r="A173" s="2">
        <v>5.25</v>
      </c>
      <c r="B173" s="2">
        <v>230.6</v>
      </c>
      <c r="C173" s="2">
        <v>796.1</v>
      </c>
      <c r="D173" s="2">
        <v>5.08</v>
      </c>
      <c r="E173" s="2">
        <v>0.66</v>
      </c>
      <c r="F173" s="2">
        <v>50.0</v>
      </c>
      <c r="G173" s="3">
        <v>44462.87855971065</v>
      </c>
      <c r="H173" s="5">
        <f>IFERROR(__xludf.DUMMYFUNCTION("SPLIT(G173,"","")"),44462.0)</f>
        <v>44462</v>
      </c>
      <c r="I173" s="6">
        <f>IFERROR(__xludf.DUMMYFUNCTION("""COMPUTED_VALUE"""),0.8785648148148149)</f>
        <v>0.8785648148</v>
      </c>
    </row>
    <row r="174">
      <c r="A174" s="2">
        <v>5.25</v>
      </c>
      <c r="B174" s="2">
        <v>230.5</v>
      </c>
      <c r="C174" s="2">
        <v>796.1</v>
      </c>
      <c r="D174" s="2">
        <v>5.08</v>
      </c>
      <c r="E174" s="2">
        <v>0.66</v>
      </c>
      <c r="F174" s="2">
        <v>50.0</v>
      </c>
      <c r="G174" s="3">
        <v>44462.878674120366</v>
      </c>
      <c r="H174" s="5">
        <f>IFERROR(__xludf.DUMMYFUNCTION("SPLIT(G174,"","")"),44462.0)</f>
        <v>44462</v>
      </c>
      <c r="I174" s="6">
        <f>IFERROR(__xludf.DUMMYFUNCTION("""COMPUTED_VALUE"""),0.8786689814814815)</f>
        <v>0.8786689815</v>
      </c>
    </row>
    <row r="175">
      <c r="A175" s="2">
        <v>5.25</v>
      </c>
      <c r="B175" s="2">
        <v>230.4</v>
      </c>
      <c r="C175" s="2">
        <v>796.2</v>
      </c>
      <c r="D175" s="2">
        <v>5.08</v>
      </c>
      <c r="E175" s="2">
        <v>0.66</v>
      </c>
      <c r="F175" s="2">
        <v>50.0</v>
      </c>
      <c r="G175" s="3">
        <v>44462.87877862269</v>
      </c>
      <c r="H175" s="5">
        <f>IFERROR(__xludf.DUMMYFUNCTION("SPLIT(G175,"","")"),44462.0)</f>
        <v>44462</v>
      </c>
      <c r="I175" s="6">
        <f>IFERROR(__xludf.DUMMYFUNCTION("""COMPUTED_VALUE"""),0.8787731481481481)</f>
        <v>0.8787731481</v>
      </c>
    </row>
    <row r="176">
      <c r="A176" s="2">
        <v>5.25</v>
      </c>
      <c r="B176" s="2">
        <v>230.4</v>
      </c>
      <c r="C176" s="2">
        <v>796.3</v>
      </c>
      <c r="D176" s="2">
        <v>5.08</v>
      </c>
      <c r="E176" s="2">
        <v>0.66</v>
      </c>
      <c r="F176" s="2">
        <v>50.0</v>
      </c>
      <c r="G176" s="3">
        <v>44462.87888452546</v>
      </c>
      <c r="H176" s="5">
        <f>IFERROR(__xludf.DUMMYFUNCTION("SPLIT(G176,"","")"),44462.0)</f>
        <v>44462</v>
      </c>
      <c r="I176" s="6">
        <f>IFERROR(__xludf.DUMMYFUNCTION("""COMPUTED_VALUE"""),0.8788888888888889)</f>
        <v>0.8788888889</v>
      </c>
    </row>
    <row r="177">
      <c r="A177" s="2">
        <v>5.25</v>
      </c>
      <c r="B177" s="2">
        <v>230.4</v>
      </c>
      <c r="C177" s="2">
        <v>796.3</v>
      </c>
      <c r="D177" s="2">
        <v>5.09</v>
      </c>
      <c r="E177" s="2">
        <v>0.66</v>
      </c>
      <c r="F177" s="2">
        <v>50.0</v>
      </c>
      <c r="G177" s="3">
        <v>44462.87899293982</v>
      </c>
      <c r="H177" s="5">
        <f>IFERROR(__xludf.DUMMYFUNCTION("SPLIT(G177,"","")"),44462.0)</f>
        <v>44462</v>
      </c>
      <c r="I177" s="6">
        <f>IFERROR(__xludf.DUMMYFUNCTION("""COMPUTED_VALUE"""),0.8789930555555555)</f>
        <v>0.8789930556</v>
      </c>
    </row>
    <row r="178">
      <c r="A178" s="2">
        <v>5.25</v>
      </c>
      <c r="B178" s="2">
        <v>230.4</v>
      </c>
      <c r="C178" s="2">
        <v>796.4</v>
      </c>
      <c r="D178" s="2">
        <v>5.09</v>
      </c>
      <c r="E178" s="2">
        <v>0.66</v>
      </c>
      <c r="F178" s="2">
        <v>50.0</v>
      </c>
      <c r="G178" s="3">
        <v>44462.87909648148</v>
      </c>
      <c r="H178" s="5">
        <f>IFERROR(__xludf.DUMMYFUNCTION("SPLIT(G178,"","")"),44462.0)</f>
        <v>44462</v>
      </c>
      <c r="I178" s="6">
        <f>IFERROR(__xludf.DUMMYFUNCTION("""COMPUTED_VALUE"""),0.8790972222222222)</f>
        <v>0.8790972222</v>
      </c>
    </row>
    <row r="179">
      <c r="A179" s="2">
        <v>5.24</v>
      </c>
      <c r="B179" s="2">
        <v>230.3</v>
      </c>
      <c r="C179" s="2">
        <v>796.5</v>
      </c>
      <c r="D179" s="2">
        <v>5.09</v>
      </c>
      <c r="E179" s="2">
        <v>0.66</v>
      </c>
      <c r="F179" s="2">
        <v>50.0</v>
      </c>
      <c r="G179" s="3">
        <v>44462.879201840275</v>
      </c>
      <c r="H179" s="5">
        <f>IFERROR(__xludf.DUMMYFUNCTION("SPLIT(G179,"","")"),44462.0)</f>
        <v>44462</v>
      </c>
      <c r="I179" s="6">
        <f>IFERROR(__xludf.DUMMYFUNCTION("""COMPUTED_VALUE"""),0.8792013888888889)</f>
        <v>0.8792013889</v>
      </c>
    </row>
    <row r="180">
      <c r="A180" s="2">
        <v>5.25</v>
      </c>
      <c r="B180" s="2">
        <v>230.3</v>
      </c>
      <c r="C180" s="2">
        <v>796.4</v>
      </c>
      <c r="D180" s="2">
        <v>5.09</v>
      </c>
      <c r="E180" s="2">
        <v>0.66</v>
      </c>
      <c r="F180" s="2">
        <v>50.0</v>
      </c>
      <c r="G180" s="3">
        <v>44462.87930074074</v>
      </c>
      <c r="H180" s="5">
        <f>IFERROR(__xludf.DUMMYFUNCTION("SPLIT(G180,"","")"),44462.0)</f>
        <v>44462</v>
      </c>
      <c r="I180" s="6">
        <f>IFERROR(__xludf.DUMMYFUNCTION("""COMPUTED_VALUE"""),0.8793055555555556)</f>
        <v>0.8793055556</v>
      </c>
    </row>
    <row r="181">
      <c r="A181" s="2">
        <v>5.25</v>
      </c>
      <c r="B181" s="2">
        <v>230.3</v>
      </c>
      <c r="C181" s="2">
        <v>796.6</v>
      </c>
      <c r="D181" s="2">
        <v>5.09</v>
      </c>
      <c r="E181" s="2">
        <v>0.66</v>
      </c>
      <c r="F181" s="2">
        <v>50.0</v>
      </c>
      <c r="G181" s="3">
        <v>44462.87940498843</v>
      </c>
      <c r="H181" s="5">
        <f>IFERROR(__xludf.DUMMYFUNCTION("SPLIT(G181,"","")"),44462.0)</f>
        <v>44462</v>
      </c>
      <c r="I181" s="6">
        <f>IFERROR(__xludf.DUMMYFUNCTION("""COMPUTED_VALUE"""),0.8794097222222222)</f>
        <v>0.8794097222</v>
      </c>
    </row>
    <row r="182">
      <c r="A182" s="2">
        <v>5.25</v>
      </c>
      <c r="B182" s="2">
        <v>230.2</v>
      </c>
      <c r="C182" s="2">
        <v>796.6</v>
      </c>
      <c r="D182" s="2">
        <v>5.1</v>
      </c>
      <c r="E182" s="2">
        <v>0.66</v>
      </c>
      <c r="F182" s="2">
        <v>50.0</v>
      </c>
      <c r="G182" s="3">
        <v>44462.87951755787</v>
      </c>
      <c r="H182" s="5">
        <f>IFERROR(__xludf.DUMMYFUNCTION("SPLIT(G182,"","")"),44462.0)</f>
        <v>44462</v>
      </c>
      <c r="I182" s="6">
        <f>IFERROR(__xludf.DUMMYFUNCTION("""COMPUTED_VALUE"""),0.8795138888888889)</f>
        <v>0.8795138889</v>
      </c>
    </row>
    <row r="183">
      <c r="A183" s="2">
        <v>5.26</v>
      </c>
      <c r="B183" s="2">
        <v>230.3</v>
      </c>
      <c r="C183" s="2">
        <v>796.7</v>
      </c>
      <c r="D183" s="2">
        <v>5.1</v>
      </c>
      <c r="E183" s="2">
        <v>0.66</v>
      </c>
      <c r="F183" s="2">
        <v>49.9</v>
      </c>
      <c r="G183" s="3">
        <v>44462.87963068287</v>
      </c>
      <c r="H183" s="5">
        <f>IFERROR(__xludf.DUMMYFUNCTION("SPLIT(G183,"","")"),44462.0)</f>
        <v>44462</v>
      </c>
      <c r="I183" s="6">
        <f>IFERROR(__xludf.DUMMYFUNCTION("""COMPUTED_VALUE"""),0.8796296296296297)</f>
        <v>0.8796296296</v>
      </c>
    </row>
    <row r="184">
      <c r="A184" s="2">
        <v>5.26</v>
      </c>
      <c r="B184" s="2">
        <v>230.2</v>
      </c>
      <c r="C184" s="2">
        <v>796.8</v>
      </c>
      <c r="D184" s="2">
        <v>5.1</v>
      </c>
      <c r="E184" s="2">
        <v>0.66</v>
      </c>
      <c r="F184" s="2">
        <v>50.0</v>
      </c>
      <c r="G184" s="3">
        <v>44462.87975050926</v>
      </c>
      <c r="H184" s="5">
        <f>IFERROR(__xludf.DUMMYFUNCTION("SPLIT(G184,"","")"),44462.0)</f>
        <v>44462</v>
      </c>
      <c r="I184" s="6">
        <f>IFERROR(__xludf.DUMMYFUNCTION("""COMPUTED_VALUE"""),0.8797453703703704)</f>
        <v>0.8797453704</v>
      </c>
    </row>
    <row r="185">
      <c r="A185" s="2">
        <v>5.26</v>
      </c>
      <c r="B185" s="2">
        <v>230.3</v>
      </c>
      <c r="C185" s="2">
        <v>796.9</v>
      </c>
      <c r="D185" s="2">
        <v>5.1</v>
      </c>
      <c r="E185" s="2">
        <v>0.66</v>
      </c>
      <c r="F185" s="2">
        <v>50.0</v>
      </c>
      <c r="G185" s="3">
        <v>44462.87987087963</v>
      </c>
      <c r="H185" s="5">
        <f>IFERROR(__xludf.DUMMYFUNCTION("SPLIT(G185,"","")"),44462.0)</f>
        <v>44462</v>
      </c>
      <c r="I185" s="6">
        <f>IFERROR(__xludf.DUMMYFUNCTION("""COMPUTED_VALUE"""),0.8798726851851851)</f>
        <v>0.8798726852</v>
      </c>
    </row>
    <row r="186">
      <c r="A186" s="2">
        <v>5.22</v>
      </c>
      <c r="B186" s="2">
        <v>231.2</v>
      </c>
      <c r="C186" s="2">
        <v>797.1</v>
      </c>
      <c r="D186" s="2">
        <v>5.11</v>
      </c>
      <c r="E186" s="2">
        <v>0.66</v>
      </c>
      <c r="F186" s="2">
        <v>50.0</v>
      </c>
      <c r="G186" s="3">
        <v>44462.87997996528</v>
      </c>
      <c r="H186" s="5">
        <f>IFERROR(__xludf.DUMMYFUNCTION("SPLIT(G186,"","")"),44462.0)</f>
        <v>44462</v>
      </c>
      <c r="I186" s="6">
        <f>IFERROR(__xludf.DUMMYFUNCTION("""COMPUTED_VALUE"""),0.8799768518518518)</f>
        <v>0.8799768519</v>
      </c>
    </row>
    <row r="187">
      <c r="A187" s="2">
        <v>5.22</v>
      </c>
      <c r="B187" s="2">
        <v>231.3</v>
      </c>
      <c r="C187" s="2">
        <v>797.3</v>
      </c>
      <c r="D187" s="2">
        <v>5.11</v>
      </c>
      <c r="E187" s="2">
        <v>0.66</v>
      </c>
      <c r="F187" s="2">
        <v>50.0</v>
      </c>
      <c r="G187" s="3">
        <v>44462.880085462966</v>
      </c>
      <c r="H187" s="5">
        <f>IFERROR(__xludf.DUMMYFUNCTION("SPLIT(G187,"","")"),44462.0)</f>
        <v>44462</v>
      </c>
      <c r="I187" s="6">
        <f>IFERROR(__xludf.DUMMYFUNCTION("""COMPUTED_VALUE"""),0.8800810185185185)</f>
        <v>0.8800810185</v>
      </c>
    </row>
    <row r="188">
      <c r="A188" s="2">
        <v>5.22</v>
      </c>
      <c r="B188" s="2">
        <v>231.3</v>
      </c>
      <c r="C188" s="2">
        <v>797.3</v>
      </c>
      <c r="D188" s="2">
        <v>5.11</v>
      </c>
      <c r="E188" s="2">
        <v>0.66</v>
      </c>
      <c r="F188" s="2">
        <v>50.0</v>
      </c>
      <c r="G188" s="3">
        <v>44462.880191874996</v>
      </c>
      <c r="H188" s="5">
        <f>IFERROR(__xludf.DUMMYFUNCTION("SPLIT(G188,"","")"),44462.0)</f>
        <v>44462</v>
      </c>
      <c r="I188" s="6">
        <f>IFERROR(__xludf.DUMMYFUNCTION("""COMPUTED_VALUE"""),0.8801967592592592)</f>
        <v>0.8801967593</v>
      </c>
    </row>
    <row r="189">
      <c r="A189" s="2">
        <v>5.22</v>
      </c>
      <c r="B189" s="2">
        <v>231.2</v>
      </c>
      <c r="C189" s="2">
        <v>797.4</v>
      </c>
      <c r="D189" s="2">
        <v>5.11</v>
      </c>
      <c r="E189" s="2">
        <v>0.66</v>
      </c>
      <c r="F189" s="2">
        <v>50.0</v>
      </c>
      <c r="G189" s="3">
        <v>44462.880341979166</v>
      </c>
      <c r="H189" s="5">
        <f>IFERROR(__xludf.DUMMYFUNCTION("SPLIT(G189,"","")"),44462.0)</f>
        <v>44462</v>
      </c>
      <c r="I189" s="6">
        <f>IFERROR(__xludf.DUMMYFUNCTION("""COMPUTED_VALUE"""),0.8803472222222222)</f>
        <v>0.8803472222</v>
      </c>
    </row>
    <row r="190">
      <c r="A190" s="2">
        <v>5.23</v>
      </c>
      <c r="B190" s="2">
        <v>231.1</v>
      </c>
      <c r="C190" s="2">
        <v>797.5</v>
      </c>
      <c r="D190" s="2">
        <v>5.11</v>
      </c>
      <c r="E190" s="2">
        <v>0.66</v>
      </c>
      <c r="F190" s="2">
        <v>50.0</v>
      </c>
      <c r="G190" s="3">
        <v>44462.88044692129</v>
      </c>
      <c r="H190" s="5">
        <f>IFERROR(__xludf.DUMMYFUNCTION("SPLIT(G190,"","")"),44462.0)</f>
        <v>44462</v>
      </c>
      <c r="I190" s="6">
        <f>IFERROR(__xludf.DUMMYFUNCTION("""COMPUTED_VALUE"""),0.8804513888888889)</f>
        <v>0.8804513889</v>
      </c>
    </row>
    <row r="191">
      <c r="A191" s="2">
        <v>5.23</v>
      </c>
      <c r="B191" s="2">
        <v>231.1</v>
      </c>
      <c r="C191" s="2">
        <v>797.5</v>
      </c>
      <c r="D191" s="2">
        <v>5.12</v>
      </c>
      <c r="E191" s="2">
        <v>0.66</v>
      </c>
      <c r="F191" s="2">
        <v>50.0</v>
      </c>
      <c r="G191" s="3">
        <v>44462.8805709838</v>
      </c>
      <c r="H191" s="5">
        <f>IFERROR(__xludf.DUMMYFUNCTION("SPLIT(G191,"","")"),44462.0)</f>
        <v>44462</v>
      </c>
      <c r="I191" s="6">
        <f>IFERROR(__xludf.DUMMYFUNCTION("""COMPUTED_VALUE"""),0.8805671296296296)</f>
        <v>0.8805671296</v>
      </c>
    </row>
    <row r="192">
      <c r="A192" s="2">
        <v>5.23</v>
      </c>
      <c r="B192" s="2">
        <v>231.1</v>
      </c>
      <c r="C192" s="2">
        <v>797.5</v>
      </c>
      <c r="D192" s="2">
        <v>5.12</v>
      </c>
      <c r="E192" s="2">
        <v>0.66</v>
      </c>
      <c r="F192" s="2">
        <v>50.0</v>
      </c>
      <c r="G192" s="3">
        <v>44462.88067813657</v>
      </c>
      <c r="H192" s="5">
        <f>IFERROR(__xludf.DUMMYFUNCTION("SPLIT(G192,"","")"),44462.0)</f>
        <v>44462</v>
      </c>
      <c r="I192" s="6">
        <f>IFERROR(__xludf.DUMMYFUNCTION("""COMPUTED_VALUE"""),0.8806828703703704)</f>
        <v>0.8806828704</v>
      </c>
    </row>
    <row r="193">
      <c r="A193" s="2">
        <v>5.22</v>
      </c>
      <c r="B193" s="2">
        <v>231.1</v>
      </c>
      <c r="C193" s="2">
        <v>797.6</v>
      </c>
      <c r="D193" s="2">
        <v>5.12</v>
      </c>
      <c r="E193" s="2">
        <v>0.66</v>
      </c>
      <c r="F193" s="2">
        <v>50.0</v>
      </c>
      <c r="G193" s="3">
        <v>44462.88078228009</v>
      </c>
      <c r="H193" s="5">
        <f>IFERROR(__xludf.DUMMYFUNCTION("SPLIT(G193,"","")"),44462.0)</f>
        <v>44462</v>
      </c>
      <c r="I193" s="6">
        <f>IFERROR(__xludf.DUMMYFUNCTION("""COMPUTED_VALUE"""),0.8807870370370371)</f>
        <v>0.880787037</v>
      </c>
    </row>
    <row r="194">
      <c r="A194" s="2">
        <v>5.23</v>
      </c>
      <c r="B194" s="2">
        <v>231.0</v>
      </c>
      <c r="C194" s="2">
        <v>797.8</v>
      </c>
      <c r="D194" s="2">
        <v>5.12</v>
      </c>
      <c r="E194" s="2">
        <v>0.66</v>
      </c>
      <c r="F194" s="2">
        <v>50.0</v>
      </c>
      <c r="G194" s="3">
        <v>44462.880885694445</v>
      </c>
      <c r="H194" s="5">
        <f>IFERROR(__xludf.DUMMYFUNCTION("SPLIT(G194,"","")"),44462.0)</f>
        <v>44462</v>
      </c>
      <c r="I194" s="6">
        <f>IFERROR(__xludf.DUMMYFUNCTION("""COMPUTED_VALUE"""),0.8808912037037037)</f>
        <v>0.8808912037</v>
      </c>
    </row>
    <row r="195">
      <c r="A195" s="2">
        <v>5.23</v>
      </c>
      <c r="B195" s="2">
        <v>231.0</v>
      </c>
      <c r="C195" s="2">
        <v>797.7</v>
      </c>
      <c r="D195" s="2">
        <v>5.13</v>
      </c>
      <c r="E195" s="2">
        <v>0.66</v>
      </c>
      <c r="F195" s="2">
        <v>50.0</v>
      </c>
      <c r="G195" s="3">
        <v>44462.88099291667</v>
      </c>
      <c r="H195" s="5">
        <f>IFERROR(__xludf.DUMMYFUNCTION("SPLIT(G195,"","")"),44462.0)</f>
        <v>44462</v>
      </c>
      <c r="I195" s="6">
        <f>IFERROR(__xludf.DUMMYFUNCTION("""COMPUTED_VALUE"""),0.8809953703703703)</f>
        <v>0.8809953704</v>
      </c>
    </row>
    <row r="196">
      <c r="A196" s="2">
        <v>5.24</v>
      </c>
      <c r="B196" s="2">
        <v>230.9</v>
      </c>
      <c r="C196" s="2">
        <v>797.8</v>
      </c>
      <c r="D196" s="2">
        <v>5.13</v>
      </c>
      <c r="E196" s="2">
        <v>0.66</v>
      </c>
      <c r="F196" s="2">
        <v>50.0</v>
      </c>
      <c r="G196" s="3">
        <v>44462.881098171296</v>
      </c>
      <c r="H196" s="5">
        <f>IFERROR(__xludf.DUMMYFUNCTION("SPLIT(G196,"","")"),44462.0)</f>
        <v>44462</v>
      </c>
      <c r="I196" s="6">
        <f>IFERROR(__xludf.DUMMYFUNCTION("""COMPUTED_VALUE"""),0.881099537037037)</f>
        <v>0.881099537</v>
      </c>
    </row>
    <row r="197">
      <c r="A197" s="2">
        <v>5.24</v>
      </c>
      <c r="B197" s="2">
        <v>230.9</v>
      </c>
      <c r="C197" s="2">
        <v>797.9</v>
      </c>
      <c r="D197" s="2">
        <v>5.13</v>
      </c>
      <c r="E197" s="2">
        <v>0.66</v>
      </c>
      <c r="F197" s="2">
        <v>49.9</v>
      </c>
      <c r="G197" s="3">
        <v>44462.88120454861</v>
      </c>
      <c r="H197" s="5">
        <f>IFERROR(__xludf.DUMMYFUNCTION("SPLIT(G197,"","")"),44462.0)</f>
        <v>44462</v>
      </c>
      <c r="I197" s="6">
        <f>IFERROR(__xludf.DUMMYFUNCTION("""COMPUTED_VALUE"""),0.8812037037037037)</f>
        <v>0.8812037037</v>
      </c>
    </row>
    <row r="198">
      <c r="A198" s="2">
        <v>5.24</v>
      </c>
      <c r="B198" s="2">
        <v>230.8</v>
      </c>
      <c r="C198" s="2">
        <v>797.8</v>
      </c>
      <c r="D198" s="2">
        <v>5.13</v>
      </c>
      <c r="E198" s="2">
        <v>0.66</v>
      </c>
      <c r="F198" s="2">
        <v>49.9</v>
      </c>
      <c r="G198" s="3">
        <v>44462.88132151621</v>
      </c>
      <c r="H198" s="5">
        <f>IFERROR(__xludf.DUMMYFUNCTION("SPLIT(G198,"","")"),44462.0)</f>
        <v>44462</v>
      </c>
      <c r="I198" s="6">
        <f>IFERROR(__xludf.DUMMYFUNCTION("""COMPUTED_VALUE"""),0.8813194444444444)</f>
        <v>0.8813194444</v>
      </c>
    </row>
    <row r="199">
      <c r="A199" s="2">
        <v>5.24</v>
      </c>
      <c r="B199" s="2">
        <v>230.9</v>
      </c>
      <c r="C199" s="2">
        <v>798.0</v>
      </c>
      <c r="D199" s="2">
        <v>5.13</v>
      </c>
      <c r="E199" s="2">
        <v>0.66</v>
      </c>
      <c r="F199" s="2">
        <v>49.9</v>
      </c>
      <c r="G199" s="3">
        <v>44462.88143327546</v>
      </c>
      <c r="H199" s="5">
        <f>IFERROR(__xludf.DUMMYFUNCTION("SPLIT(G199,"","")"),44462.0)</f>
        <v>44462</v>
      </c>
      <c r="I199" s="6">
        <f>IFERROR(__xludf.DUMMYFUNCTION("""COMPUTED_VALUE"""),0.8814351851851852)</f>
        <v>0.8814351852</v>
      </c>
    </row>
    <row r="200">
      <c r="A200" s="2">
        <v>5.23</v>
      </c>
      <c r="B200" s="2">
        <v>231.0</v>
      </c>
      <c r="C200" s="2">
        <v>798.0</v>
      </c>
      <c r="D200" s="2">
        <v>5.14</v>
      </c>
      <c r="E200" s="2">
        <v>0.66</v>
      </c>
      <c r="F200" s="2">
        <v>50.0</v>
      </c>
      <c r="G200" s="3">
        <v>44462.88153666667</v>
      </c>
      <c r="H200" s="5">
        <f>IFERROR(__xludf.DUMMYFUNCTION("SPLIT(G200,"","")"),44462.0)</f>
        <v>44462</v>
      </c>
      <c r="I200" s="6">
        <f>IFERROR(__xludf.DUMMYFUNCTION("""COMPUTED_VALUE"""),0.8815393518518518)</f>
        <v>0.8815393519</v>
      </c>
    </row>
    <row r="201">
      <c r="A201" s="2">
        <v>5.23</v>
      </c>
      <c r="B201" s="2">
        <v>231.1</v>
      </c>
      <c r="C201" s="2">
        <v>798.0</v>
      </c>
      <c r="D201" s="2">
        <v>5.14</v>
      </c>
      <c r="E201" s="2">
        <v>0.66</v>
      </c>
      <c r="F201" s="2">
        <v>50.0</v>
      </c>
      <c r="G201" s="3">
        <v>44462.881635949074</v>
      </c>
      <c r="H201" s="5">
        <f>IFERROR(__xludf.DUMMYFUNCTION("SPLIT(G201,"","")"),44462.0)</f>
        <v>44462</v>
      </c>
      <c r="I201" s="6">
        <f>IFERROR(__xludf.DUMMYFUNCTION("""COMPUTED_VALUE"""),0.8816319444444445)</f>
        <v>0.8816319444</v>
      </c>
    </row>
    <row r="202">
      <c r="A202" s="2">
        <v>5.23</v>
      </c>
      <c r="B202" s="2">
        <v>231.2</v>
      </c>
      <c r="C202" s="2">
        <v>798.3</v>
      </c>
      <c r="D202" s="2">
        <v>5.14</v>
      </c>
      <c r="E202" s="2">
        <v>0.66</v>
      </c>
      <c r="F202" s="2">
        <v>50.0</v>
      </c>
      <c r="G202" s="3">
        <v>44462.88174266204</v>
      </c>
      <c r="H202" s="5">
        <f>IFERROR(__xludf.DUMMYFUNCTION("SPLIT(G202,"","")"),44462.0)</f>
        <v>44462</v>
      </c>
      <c r="I202" s="6">
        <f>IFERROR(__xludf.DUMMYFUNCTION("""COMPUTED_VALUE"""),0.8817476851851852)</f>
        <v>0.8817476852</v>
      </c>
    </row>
    <row r="203">
      <c r="A203" s="2">
        <v>5.23</v>
      </c>
      <c r="B203" s="2">
        <v>231.2</v>
      </c>
      <c r="C203" s="2">
        <v>798.3</v>
      </c>
      <c r="D203" s="2">
        <v>5.14</v>
      </c>
      <c r="E203" s="2">
        <v>0.66</v>
      </c>
      <c r="F203" s="2">
        <v>50.0</v>
      </c>
      <c r="G203" s="3">
        <v>44462.88184646991</v>
      </c>
      <c r="H203" s="5">
        <f>IFERROR(__xludf.DUMMYFUNCTION("SPLIT(G203,"","")"),44462.0)</f>
        <v>44462</v>
      </c>
      <c r="I203" s="6">
        <f>IFERROR(__xludf.DUMMYFUNCTION("""COMPUTED_VALUE"""),0.8818518518518519)</f>
        <v>0.8818518519</v>
      </c>
    </row>
    <row r="204">
      <c r="A204" s="2">
        <v>5.23</v>
      </c>
      <c r="B204" s="2">
        <v>231.4</v>
      </c>
      <c r="C204" s="2">
        <v>798.4</v>
      </c>
      <c r="D204" s="2">
        <v>5.14</v>
      </c>
      <c r="E204" s="2">
        <v>0.66</v>
      </c>
      <c r="F204" s="2">
        <v>50.0</v>
      </c>
      <c r="G204" s="3">
        <v>44462.881977881945</v>
      </c>
      <c r="H204" s="5">
        <f>IFERROR(__xludf.DUMMYFUNCTION("SPLIT(G204,"","")"),44462.0)</f>
        <v>44462</v>
      </c>
      <c r="I204" s="6">
        <f>IFERROR(__xludf.DUMMYFUNCTION("""COMPUTED_VALUE"""),0.8819791666666666)</f>
        <v>0.8819791667</v>
      </c>
    </row>
    <row r="205">
      <c r="A205" s="2">
        <v>5.23</v>
      </c>
      <c r="B205" s="2">
        <v>231.4</v>
      </c>
      <c r="C205" s="2">
        <v>798.4</v>
      </c>
      <c r="D205" s="2">
        <v>5.15</v>
      </c>
      <c r="E205" s="2">
        <v>0.66</v>
      </c>
      <c r="F205" s="2">
        <v>50.0</v>
      </c>
      <c r="G205" s="3">
        <v>44462.88207572917</v>
      </c>
      <c r="H205" s="5">
        <f>IFERROR(__xludf.DUMMYFUNCTION("SPLIT(G205,"","")"),44462.0)</f>
        <v>44462</v>
      </c>
      <c r="I205" s="6">
        <f>IFERROR(__xludf.DUMMYFUNCTION("""COMPUTED_VALUE"""),0.8820717592592593)</f>
        <v>0.8820717593</v>
      </c>
    </row>
    <row r="206">
      <c r="A206" s="2">
        <v>5.26</v>
      </c>
      <c r="B206" s="2">
        <v>230.7</v>
      </c>
      <c r="C206" s="2">
        <v>798.6</v>
      </c>
      <c r="D206" s="2">
        <v>5.15</v>
      </c>
      <c r="E206" s="2">
        <v>0.66</v>
      </c>
      <c r="F206" s="2">
        <v>50.0</v>
      </c>
      <c r="G206" s="3">
        <v>44462.88217766203</v>
      </c>
      <c r="H206" s="5">
        <f>IFERROR(__xludf.DUMMYFUNCTION("SPLIT(G206,"","")"),44462.0)</f>
        <v>44462</v>
      </c>
      <c r="I206" s="6">
        <f>IFERROR(__xludf.DUMMYFUNCTION("""COMPUTED_VALUE"""),0.882175925925926)</f>
        <v>0.8821759259</v>
      </c>
    </row>
    <row r="207">
      <c r="A207" s="2">
        <v>5.25</v>
      </c>
      <c r="B207" s="2">
        <v>231.2</v>
      </c>
      <c r="C207" s="2">
        <v>798.6</v>
      </c>
      <c r="D207" s="2">
        <v>5.15</v>
      </c>
      <c r="E207" s="2">
        <v>0.66</v>
      </c>
      <c r="F207" s="2">
        <v>50.0</v>
      </c>
      <c r="G207" s="3">
        <v>44462.882284872685</v>
      </c>
      <c r="H207" s="5">
        <f>IFERROR(__xludf.DUMMYFUNCTION("SPLIT(G207,"","")"),44462.0)</f>
        <v>44462</v>
      </c>
      <c r="I207" s="6">
        <f>IFERROR(__xludf.DUMMYFUNCTION("""COMPUTED_VALUE"""),0.8822800925925925)</f>
        <v>0.8822800926</v>
      </c>
    </row>
    <row r="208">
      <c r="A208" s="2">
        <v>5.26</v>
      </c>
      <c r="B208" s="2">
        <v>231.0</v>
      </c>
      <c r="C208" s="2">
        <v>798.6</v>
      </c>
      <c r="D208" s="2">
        <v>5.15</v>
      </c>
      <c r="E208" s="2">
        <v>0.66</v>
      </c>
      <c r="F208" s="2">
        <v>50.0</v>
      </c>
      <c r="G208" s="3">
        <v>44462.88240135417</v>
      </c>
      <c r="H208" s="5">
        <f>IFERROR(__xludf.DUMMYFUNCTION("SPLIT(G208,"","")"),44462.0)</f>
        <v>44462</v>
      </c>
      <c r="I208" s="6">
        <f>IFERROR(__xludf.DUMMYFUNCTION("""COMPUTED_VALUE"""),0.8823958333333334)</f>
        <v>0.8823958333</v>
      </c>
    </row>
    <row r="209">
      <c r="A209" s="2">
        <v>5.24</v>
      </c>
      <c r="B209" s="2">
        <v>231.1</v>
      </c>
      <c r="C209" s="2">
        <v>798.7</v>
      </c>
      <c r="D209" s="2">
        <v>5.15</v>
      </c>
      <c r="E209" s="2">
        <v>0.66</v>
      </c>
      <c r="F209" s="2">
        <v>50.0</v>
      </c>
      <c r="G209" s="3">
        <v>44462.88251148148</v>
      </c>
      <c r="H209" s="5">
        <f>IFERROR(__xludf.DUMMYFUNCTION("SPLIT(G209,"","")"),44462.0)</f>
        <v>44462</v>
      </c>
      <c r="I209" s="6">
        <f>IFERROR(__xludf.DUMMYFUNCTION("""COMPUTED_VALUE"""),0.8825115740740741)</f>
        <v>0.8825115741</v>
      </c>
    </row>
    <row r="210">
      <c r="A210" s="2">
        <v>5.24</v>
      </c>
      <c r="B210" s="2">
        <v>231.1</v>
      </c>
      <c r="C210" s="2">
        <v>798.7</v>
      </c>
      <c r="D210" s="2">
        <v>5.16</v>
      </c>
      <c r="E210" s="2">
        <v>0.66</v>
      </c>
      <c r="F210" s="2">
        <v>50.0</v>
      </c>
      <c r="G210" s="3">
        <v>44462.882617511576</v>
      </c>
      <c r="H210" s="5">
        <f>IFERROR(__xludf.DUMMYFUNCTION("SPLIT(G210,"","")"),44462.0)</f>
        <v>44462</v>
      </c>
      <c r="I210" s="6">
        <f>IFERROR(__xludf.DUMMYFUNCTION("""COMPUTED_VALUE"""),0.8826157407407408)</f>
        <v>0.8826157407</v>
      </c>
    </row>
    <row r="211">
      <c r="A211" s="2">
        <v>5.25</v>
      </c>
      <c r="B211" s="2">
        <v>231.1</v>
      </c>
      <c r="C211" s="2">
        <v>798.9</v>
      </c>
      <c r="D211" s="2">
        <v>5.16</v>
      </c>
      <c r="E211" s="2">
        <v>0.66</v>
      </c>
      <c r="F211" s="2">
        <v>49.9</v>
      </c>
      <c r="G211" s="3">
        <v>44462.8827220949</v>
      </c>
      <c r="H211" s="5">
        <f>IFERROR(__xludf.DUMMYFUNCTION("SPLIT(G211,"","")"),44462.0)</f>
        <v>44462</v>
      </c>
      <c r="I211" s="6">
        <f>IFERROR(__xludf.DUMMYFUNCTION("""COMPUTED_VALUE"""),0.8827199074074074)</f>
        <v>0.8827199074</v>
      </c>
    </row>
    <row r="212">
      <c r="A212" s="2">
        <v>5.24</v>
      </c>
      <c r="B212" s="2">
        <v>231.2</v>
      </c>
      <c r="C212" s="2">
        <v>798.9</v>
      </c>
      <c r="D212" s="2">
        <v>5.16</v>
      </c>
      <c r="E212" s="2">
        <v>0.66</v>
      </c>
      <c r="F212" s="2">
        <v>50.0</v>
      </c>
      <c r="G212" s="3">
        <v>44462.88282804398</v>
      </c>
      <c r="H212" s="5">
        <f>IFERROR(__xludf.DUMMYFUNCTION("SPLIT(G212,"","")"),44462.0)</f>
        <v>44462</v>
      </c>
      <c r="I212" s="6">
        <f>IFERROR(__xludf.DUMMYFUNCTION("""COMPUTED_VALUE"""),0.882824074074074)</f>
        <v>0.8828240741</v>
      </c>
    </row>
    <row r="213">
      <c r="A213" s="2">
        <v>5.25</v>
      </c>
      <c r="B213" s="2">
        <v>231.2</v>
      </c>
      <c r="C213" s="2">
        <v>798.9</v>
      </c>
      <c r="D213" s="2">
        <v>5.16</v>
      </c>
      <c r="E213" s="2">
        <v>0.66</v>
      </c>
      <c r="F213" s="2">
        <v>50.0</v>
      </c>
      <c r="G213" s="3">
        <v>44462.882939421295</v>
      </c>
      <c r="H213" s="5">
        <f>IFERROR(__xludf.DUMMYFUNCTION("SPLIT(G213,"","")"),44462.0)</f>
        <v>44462</v>
      </c>
      <c r="I213" s="6">
        <f>IFERROR(__xludf.DUMMYFUNCTION("""COMPUTED_VALUE"""),0.8829398148148148)</f>
        <v>0.8829398148</v>
      </c>
    </row>
    <row r="214">
      <c r="A214" s="2">
        <v>5.25</v>
      </c>
      <c r="B214" s="2">
        <v>231.3</v>
      </c>
      <c r="C214" s="2">
        <v>799.0</v>
      </c>
      <c r="D214" s="2">
        <v>5.16</v>
      </c>
      <c r="E214" s="2">
        <v>0.66</v>
      </c>
      <c r="F214" s="2">
        <v>50.0</v>
      </c>
      <c r="G214" s="3">
        <v>44462.883051111115</v>
      </c>
      <c r="H214" s="5">
        <f>IFERROR(__xludf.DUMMYFUNCTION("SPLIT(G214,"","")"),44462.0)</f>
        <v>44462</v>
      </c>
      <c r="I214" s="6">
        <f>IFERROR(__xludf.DUMMYFUNCTION("""COMPUTED_VALUE"""),0.8830555555555556)</f>
        <v>0.8830555556</v>
      </c>
    </row>
    <row r="215">
      <c r="A215" s="2">
        <v>5.24</v>
      </c>
      <c r="B215" s="2">
        <v>231.3</v>
      </c>
      <c r="C215" s="2">
        <v>799.1</v>
      </c>
      <c r="D215" s="2">
        <v>5.17</v>
      </c>
      <c r="E215" s="2">
        <v>0.66</v>
      </c>
      <c r="F215" s="2">
        <v>50.0</v>
      </c>
      <c r="G215" s="3">
        <v>44462.883156412034</v>
      </c>
      <c r="H215" s="5">
        <f>IFERROR(__xludf.DUMMYFUNCTION("SPLIT(G215,"","")"),44462.0)</f>
        <v>44462</v>
      </c>
      <c r="I215" s="6">
        <f>IFERROR(__xludf.DUMMYFUNCTION("""COMPUTED_VALUE"""),0.8831597222222223)</f>
        <v>0.8831597222</v>
      </c>
    </row>
    <row r="216">
      <c r="A216" s="2">
        <v>5.25</v>
      </c>
      <c r="B216" s="2">
        <v>231.4</v>
      </c>
      <c r="C216" s="2">
        <v>799.2</v>
      </c>
      <c r="D216" s="2">
        <v>5.17</v>
      </c>
      <c r="E216" s="2">
        <v>0.66</v>
      </c>
      <c r="F216" s="2">
        <v>50.0</v>
      </c>
      <c r="G216" s="3">
        <v>44462.8832650463</v>
      </c>
      <c r="H216" s="5">
        <f>IFERROR(__xludf.DUMMYFUNCTION("SPLIT(G216,"","")"),44462.0)</f>
        <v>44462</v>
      </c>
      <c r="I216" s="6">
        <f>IFERROR(__xludf.DUMMYFUNCTION("""COMPUTED_VALUE"""),0.8832638888888888)</f>
        <v>0.8832638889</v>
      </c>
    </row>
    <row r="217">
      <c r="A217" s="2">
        <v>5.25</v>
      </c>
      <c r="B217" s="2">
        <v>231.6</v>
      </c>
      <c r="C217" s="2">
        <v>799.3</v>
      </c>
      <c r="D217" s="2">
        <v>5.17</v>
      </c>
      <c r="E217" s="2">
        <v>0.66</v>
      </c>
      <c r="F217" s="2">
        <v>50.0</v>
      </c>
      <c r="G217" s="3">
        <v>44462.88336972222</v>
      </c>
      <c r="H217" s="5">
        <f>IFERROR(__xludf.DUMMYFUNCTION("SPLIT(G217,"","")"),44462.0)</f>
        <v>44462</v>
      </c>
      <c r="I217" s="6">
        <f>IFERROR(__xludf.DUMMYFUNCTION("""COMPUTED_VALUE"""),0.8833680555555555)</f>
        <v>0.8833680556</v>
      </c>
    </row>
    <row r="218">
      <c r="A218" s="2">
        <v>5.29</v>
      </c>
      <c r="B218" s="2">
        <v>230.5</v>
      </c>
      <c r="C218" s="2">
        <v>799.2</v>
      </c>
      <c r="D218" s="2">
        <v>5.17</v>
      </c>
      <c r="E218" s="2">
        <v>0.66</v>
      </c>
      <c r="F218" s="2">
        <v>50.0</v>
      </c>
      <c r="G218" s="3">
        <v>44462.88347702546</v>
      </c>
      <c r="H218" s="5">
        <f>IFERROR(__xludf.DUMMYFUNCTION("SPLIT(G218,"","")"),44462.0)</f>
        <v>44462</v>
      </c>
      <c r="I218" s="6">
        <f>IFERROR(__xludf.DUMMYFUNCTION("""COMPUTED_VALUE"""),0.8834722222222222)</f>
        <v>0.8834722222</v>
      </c>
    </row>
    <row r="219">
      <c r="A219" s="2">
        <v>5.29</v>
      </c>
      <c r="B219" s="2">
        <v>230.4</v>
      </c>
      <c r="C219" s="2">
        <v>799.4</v>
      </c>
      <c r="D219" s="2">
        <v>5.18</v>
      </c>
      <c r="E219" s="2">
        <v>0.66</v>
      </c>
      <c r="F219" s="2">
        <v>50.0</v>
      </c>
      <c r="G219" s="3">
        <v>44462.88358583333</v>
      </c>
      <c r="H219" s="5">
        <f>IFERROR(__xludf.DUMMYFUNCTION("SPLIT(G219,"","")"),44462.0)</f>
        <v>44462</v>
      </c>
      <c r="I219" s="6">
        <f>IFERROR(__xludf.DUMMYFUNCTION("""COMPUTED_VALUE"""),0.8835879629629629)</f>
        <v>0.883587963</v>
      </c>
    </row>
    <row r="220">
      <c r="A220" s="2">
        <v>5.28</v>
      </c>
      <c r="B220" s="2">
        <v>230.4</v>
      </c>
      <c r="C220" s="2">
        <v>799.5</v>
      </c>
      <c r="D220" s="2">
        <v>5.18</v>
      </c>
      <c r="E220" s="2">
        <v>0.66</v>
      </c>
      <c r="F220" s="2">
        <v>50.0</v>
      </c>
      <c r="G220" s="3">
        <v>44462.883690891205</v>
      </c>
      <c r="H220" s="5">
        <f>IFERROR(__xludf.DUMMYFUNCTION("SPLIT(G220,"","")"),44462.0)</f>
        <v>44462</v>
      </c>
      <c r="I220" s="6">
        <f>IFERROR(__xludf.DUMMYFUNCTION("""COMPUTED_VALUE"""),0.8836921296296296)</f>
        <v>0.8836921296</v>
      </c>
    </row>
    <row r="221">
      <c r="A221" s="2">
        <v>5.29</v>
      </c>
      <c r="B221" s="2">
        <v>230.3</v>
      </c>
      <c r="C221" s="2">
        <v>799.5</v>
      </c>
      <c r="D221" s="2">
        <v>5.18</v>
      </c>
      <c r="E221" s="2">
        <v>0.66</v>
      </c>
      <c r="F221" s="2">
        <v>50.0</v>
      </c>
      <c r="G221" s="3">
        <v>44462.88379569445</v>
      </c>
      <c r="H221" s="5">
        <f>IFERROR(__xludf.DUMMYFUNCTION("SPLIT(G221,"","")"),44462.0)</f>
        <v>44462</v>
      </c>
      <c r="I221" s="6">
        <f>IFERROR(__xludf.DUMMYFUNCTION("""COMPUTED_VALUE"""),0.8837962962962963)</f>
        <v>0.8837962963</v>
      </c>
    </row>
    <row r="222">
      <c r="A222" s="2">
        <v>5.28</v>
      </c>
      <c r="B222" s="2">
        <v>230.3</v>
      </c>
      <c r="C222" s="2">
        <v>799.5</v>
      </c>
      <c r="D222" s="2">
        <v>5.18</v>
      </c>
      <c r="E222" s="2">
        <v>0.66</v>
      </c>
      <c r="F222" s="2">
        <v>50.0</v>
      </c>
      <c r="G222" s="3">
        <v>44462.883901863424</v>
      </c>
      <c r="H222" s="5">
        <f>IFERROR(__xludf.DUMMYFUNCTION("SPLIT(G222,"","")"),44462.0)</f>
        <v>44462</v>
      </c>
      <c r="I222" s="6">
        <f>IFERROR(__xludf.DUMMYFUNCTION("""COMPUTED_VALUE"""),0.883900462962963)</f>
        <v>0.883900463</v>
      </c>
    </row>
    <row r="223">
      <c r="A223" s="2">
        <v>5.28</v>
      </c>
      <c r="B223" s="2">
        <v>230.5</v>
      </c>
      <c r="C223" s="2">
        <v>799.6</v>
      </c>
      <c r="D223" s="2">
        <v>5.18</v>
      </c>
      <c r="E223" s="2">
        <v>0.66</v>
      </c>
      <c r="F223" s="2">
        <v>50.0</v>
      </c>
      <c r="G223" s="3">
        <v>44462.88400825232</v>
      </c>
      <c r="H223" s="5">
        <f>IFERROR(__xludf.DUMMYFUNCTION("SPLIT(G223,"","")"),44462.0)</f>
        <v>44462</v>
      </c>
      <c r="I223" s="6">
        <f>IFERROR(__xludf.DUMMYFUNCTION("""COMPUTED_VALUE"""),0.8840046296296297)</f>
        <v>0.8840046296</v>
      </c>
    </row>
    <row r="224">
      <c r="A224" s="2">
        <v>5.28</v>
      </c>
      <c r="B224" s="2">
        <v>230.6</v>
      </c>
      <c r="C224" s="2">
        <v>799.7</v>
      </c>
      <c r="D224" s="2">
        <v>5.19</v>
      </c>
      <c r="E224" s="2">
        <v>0.66</v>
      </c>
      <c r="F224" s="2">
        <v>50.0</v>
      </c>
      <c r="G224" s="3">
        <v>44462.88418795139</v>
      </c>
      <c r="H224" s="5">
        <f>IFERROR(__xludf.DUMMYFUNCTION("SPLIT(G224,"","")"),44462.0)</f>
        <v>44462</v>
      </c>
      <c r="I224" s="6">
        <f>IFERROR(__xludf.DUMMYFUNCTION("""COMPUTED_VALUE"""),0.8841898148148148)</f>
        <v>0.8841898148</v>
      </c>
    </row>
    <row r="225">
      <c r="A225" s="2">
        <v>5.28</v>
      </c>
      <c r="B225" s="2">
        <v>230.6</v>
      </c>
      <c r="C225" s="2">
        <v>799.8</v>
      </c>
      <c r="D225" s="2">
        <v>5.19</v>
      </c>
      <c r="E225" s="2">
        <v>0.66</v>
      </c>
      <c r="F225" s="2">
        <v>50.0</v>
      </c>
      <c r="G225" s="3">
        <v>44462.88429328703</v>
      </c>
      <c r="H225" s="5">
        <f>IFERROR(__xludf.DUMMYFUNCTION("SPLIT(G225,"","")"),44462.0)</f>
        <v>44462</v>
      </c>
      <c r="I225" s="6">
        <f>IFERROR(__xludf.DUMMYFUNCTION("""COMPUTED_VALUE"""),0.8842939814814815)</f>
        <v>0.8842939815</v>
      </c>
    </row>
    <row r="226">
      <c r="A226" s="2">
        <v>5.28</v>
      </c>
      <c r="B226" s="2">
        <v>230.5</v>
      </c>
      <c r="C226" s="2">
        <v>800.0</v>
      </c>
      <c r="D226" s="2">
        <v>5.19</v>
      </c>
      <c r="E226" s="2">
        <v>0.66</v>
      </c>
      <c r="F226" s="2">
        <v>50.0</v>
      </c>
      <c r="G226" s="3">
        <v>44462.88440265047</v>
      </c>
      <c r="H226" s="5">
        <f>IFERROR(__xludf.DUMMYFUNCTION("SPLIT(G226,"","")"),44462.0)</f>
        <v>44462</v>
      </c>
      <c r="I226" s="6">
        <f>IFERROR(__xludf.DUMMYFUNCTION("""COMPUTED_VALUE"""),0.8843981481481481)</f>
        <v>0.8843981481</v>
      </c>
    </row>
    <row r="227">
      <c r="A227" s="2">
        <v>5.29</v>
      </c>
      <c r="B227" s="2">
        <v>230.4</v>
      </c>
      <c r="C227" s="2">
        <v>800.0</v>
      </c>
      <c r="D227" s="2">
        <v>5.19</v>
      </c>
      <c r="E227" s="2">
        <v>0.66</v>
      </c>
      <c r="F227" s="2">
        <v>50.0</v>
      </c>
      <c r="G227" s="3">
        <v>44462.88451942129</v>
      </c>
      <c r="H227" s="5">
        <f>IFERROR(__xludf.DUMMYFUNCTION("SPLIT(G227,"","")"),44462.0)</f>
        <v>44462</v>
      </c>
      <c r="I227" s="6">
        <f>IFERROR(__xludf.DUMMYFUNCTION("""COMPUTED_VALUE"""),0.8845138888888889)</f>
        <v>0.8845138889</v>
      </c>
    </row>
    <row r="228">
      <c r="A228" s="2">
        <v>5.29</v>
      </c>
      <c r="B228" s="2">
        <v>230.4</v>
      </c>
      <c r="C228" s="2">
        <v>800.0</v>
      </c>
      <c r="D228" s="2">
        <v>5.19</v>
      </c>
      <c r="E228" s="2">
        <v>0.66</v>
      </c>
      <c r="F228" s="2">
        <v>50.0</v>
      </c>
      <c r="G228" s="3">
        <v>44462.88462253472</v>
      </c>
      <c r="H228" s="5">
        <f>IFERROR(__xludf.DUMMYFUNCTION("SPLIT(G228,"","")"),44462.0)</f>
        <v>44462</v>
      </c>
      <c r="I228" s="6">
        <f>IFERROR(__xludf.DUMMYFUNCTION("""COMPUTED_VALUE"""),0.8846180555555555)</f>
        <v>0.8846180556</v>
      </c>
    </row>
    <row r="229">
      <c r="A229" s="2">
        <v>5.3</v>
      </c>
      <c r="B229" s="2">
        <v>230.4</v>
      </c>
      <c r="C229" s="2">
        <v>800.1</v>
      </c>
      <c r="D229" s="2">
        <v>5.2</v>
      </c>
      <c r="E229" s="2">
        <v>0.66</v>
      </c>
      <c r="F229" s="2">
        <v>50.0</v>
      </c>
      <c r="G229" s="3">
        <v>44462.88473175926</v>
      </c>
      <c r="H229" s="5">
        <f>IFERROR(__xludf.DUMMYFUNCTION("SPLIT(G229,"","")"),44462.0)</f>
        <v>44462</v>
      </c>
      <c r="I229" s="6">
        <f>IFERROR(__xludf.DUMMYFUNCTION("""COMPUTED_VALUE"""),0.8847337962962963)</f>
        <v>0.8847337963</v>
      </c>
    </row>
    <row r="230">
      <c r="A230" s="2">
        <v>5.29</v>
      </c>
      <c r="B230" s="2">
        <v>230.5</v>
      </c>
      <c r="C230" s="2">
        <v>800.0</v>
      </c>
      <c r="D230" s="2">
        <v>5.2</v>
      </c>
      <c r="E230" s="2">
        <v>0.66</v>
      </c>
      <c r="F230" s="2">
        <v>50.0</v>
      </c>
      <c r="G230" s="3">
        <v>44462.88483627315</v>
      </c>
      <c r="H230" s="5">
        <f>IFERROR(__xludf.DUMMYFUNCTION("SPLIT(G230,"","")"),44462.0)</f>
        <v>44462</v>
      </c>
      <c r="I230" s="6">
        <f>IFERROR(__xludf.DUMMYFUNCTION("""COMPUTED_VALUE"""),0.8848379629629629)</f>
        <v>0.884837963</v>
      </c>
    </row>
    <row r="231">
      <c r="A231" s="2">
        <v>5.28</v>
      </c>
      <c r="B231" s="2">
        <v>231.0</v>
      </c>
      <c r="C231" s="2">
        <v>800.0</v>
      </c>
      <c r="D231" s="2">
        <v>5.2</v>
      </c>
      <c r="E231" s="2">
        <v>0.66</v>
      </c>
      <c r="F231" s="2">
        <v>50.0</v>
      </c>
      <c r="G231" s="3">
        <v>44462.88493771991</v>
      </c>
      <c r="H231" s="5">
        <f>IFERROR(__xludf.DUMMYFUNCTION("SPLIT(G231,"","")"),44462.0)</f>
        <v>44462</v>
      </c>
      <c r="I231" s="6">
        <f>IFERROR(__xludf.DUMMYFUNCTION("""COMPUTED_VALUE"""),0.8849421296296296)</f>
        <v>0.8849421296</v>
      </c>
    </row>
    <row r="232">
      <c r="A232" s="2">
        <v>5.28</v>
      </c>
      <c r="B232" s="2">
        <v>230.8</v>
      </c>
      <c r="C232" s="2">
        <v>800.0</v>
      </c>
      <c r="D232" s="2">
        <v>5.2</v>
      </c>
      <c r="E232" s="2">
        <v>0.66</v>
      </c>
      <c r="F232" s="2">
        <v>50.0</v>
      </c>
      <c r="G232" s="3">
        <v>44462.885048819444</v>
      </c>
      <c r="H232" s="5">
        <f>IFERROR(__xludf.DUMMYFUNCTION("SPLIT(G232,"","")"),44462.0)</f>
        <v>44462</v>
      </c>
      <c r="I232" s="6">
        <f>IFERROR(__xludf.DUMMYFUNCTION("""COMPUTED_VALUE"""),0.8850462962962963)</f>
        <v>0.8850462963</v>
      </c>
    </row>
    <row r="233">
      <c r="A233" s="2">
        <v>5.24</v>
      </c>
      <c r="B233" s="2">
        <v>231.5</v>
      </c>
      <c r="C233" s="2">
        <v>800.4</v>
      </c>
      <c r="D233" s="2">
        <v>5.2</v>
      </c>
      <c r="E233" s="2">
        <v>0.66</v>
      </c>
      <c r="F233" s="2">
        <v>50.0</v>
      </c>
      <c r="G233" s="3">
        <v>44462.88515833333</v>
      </c>
      <c r="H233" s="5">
        <f>IFERROR(__xludf.DUMMYFUNCTION("SPLIT(G233,"","")"),44462.0)</f>
        <v>44462</v>
      </c>
      <c r="I233" s="6">
        <f>IFERROR(__xludf.DUMMYFUNCTION("""COMPUTED_VALUE"""),0.885162037037037)</f>
        <v>0.885162037</v>
      </c>
    </row>
    <row r="234">
      <c r="A234" s="2">
        <v>5.24</v>
      </c>
      <c r="B234" s="2">
        <v>231.6</v>
      </c>
      <c r="C234" s="2">
        <v>800.5</v>
      </c>
      <c r="D234" s="2">
        <v>5.21</v>
      </c>
      <c r="E234" s="2">
        <v>0.66</v>
      </c>
      <c r="F234" s="2">
        <v>50.0</v>
      </c>
      <c r="G234" s="3">
        <v>44462.885266400466</v>
      </c>
      <c r="H234" s="5">
        <f>IFERROR(__xludf.DUMMYFUNCTION("SPLIT(G234,"","")"),44462.0)</f>
        <v>44462</v>
      </c>
      <c r="I234" s="6">
        <f>IFERROR(__xludf.DUMMYFUNCTION("""COMPUTED_VALUE"""),0.8852662037037037)</f>
        <v>0.8852662037</v>
      </c>
    </row>
    <row r="235">
      <c r="A235" s="2">
        <v>5.26</v>
      </c>
      <c r="B235" s="2">
        <v>231.5</v>
      </c>
      <c r="C235" s="2">
        <v>800.5</v>
      </c>
      <c r="D235" s="2">
        <v>5.21</v>
      </c>
      <c r="E235" s="2">
        <v>0.66</v>
      </c>
      <c r="F235" s="2">
        <v>50.0</v>
      </c>
      <c r="G235" s="3">
        <v>44462.88537388889</v>
      </c>
      <c r="H235" s="5">
        <f>IFERROR(__xludf.DUMMYFUNCTION("SPLIT(G235,"","")"),44462.0)</f>
        <v>44462</v>
      </c>
      <c r="I235" s="6">
        <f>IFERROR(__xludf.DUMMYFUNCTION("""COMPUTED_VALUE"""),0.8853703703703704)</f>
        <v>0.8853703704</v>
      </c>
    </row>
    <row r="236">
      <c r="A236" s="2">
        <v>5.26</v>
      </c>
      <c r="B236" s="2">
        <v>231.4</v>
      </c>
      <c r="C236" s="2">
        <v>800.6</v>
      </c>
      <c r="D236" s="2">
        <v>5.21</v>
      </c>
      <c r="E236" s="2">
        <v>0.66</v>
      </c>
      <c r="F236" s="2">
        <v>50.0</v>
      </c>
      <c r="G236" s="3">
        <v>44462.88547793981</v>
      </c>
      <c r="H236" s="5">
        <f>IFERROR(__xludf.DUMMYFUNCTION("SPLIT(G236,"","")"),44462.0)</f>
        <v>44462</v>
      </c>
      <c r="I236" s="6">
        <f>IFERROR(__xludf.DUMMYFUNCTION("""COMPUTED_VALUE"""),0.885474537037037)</f>
        <v>0.885474537</v>
      </c>
    </row>
    <row r="237">
      <c r="A237" s="2">
        <v>5.27</v>
      </c>
      <c r="B237" s="2">
        <v>231.4</v>
      </c>
      <c r="C237" s="2">
        <v>800.6</v>
      </c>
      <c r="D237" s="2">
        <v>5.21</v>
      </c>
      <c r="E237" s="2">
        <v>0.66</v>
      </c>
      <c r="F237" s="2">
        <v>50.0</v>
      </c>
      <c r="G237" s="3">
        <v>44462.88558502315</v>
      </c>
      <c r="H237" s="5">
        <f>IFERROR(__xludf.DUMMYFUNCTION("SPLIT(G237,"","")"),44462.0)</f>
        <v>44462</v>
      </c>
      <c r="I237" s="6">
        <f>IFERROR(__xludf.DUMMYFUNCTION("""COMPUTED_VALUE"""),0.8855902777777778)</f>
        <v>0.8855902778</v>
      </c>
    </row>
    <row r="238">
      <c r="A238" s="2">
        <v>5.31</v>
      </c>
      <c r="B238" s="2">
        <v>229.7</v>
      </c>
      <c r="C238" s="2">
        <v>800.8</v>
      </c>
      <c r="D238" s="2">
        <v>5.22</v>
      </c>
      <c r="E238" s="2">
        <v>0.66</v>
      </c>
      <c r="F238" s="2">
        <v>50.0</v>
      </c>
      <c r="G238" s="3">
        <v>44462.885693171294</v>
      </c>
      <c r="H238" s="5">
        <f>IFERROR(__xludf.DUMMYFUNCTION("SPLIT(G238,"","")"),44462.0)</f>
        <v>44462</v>
      </c>
      <c r="I238" s="6">
        <f>IFERROR(__xludf.DUMMYFUNCTION("""COMPUTED_VALUE"""),0.8856944444444445)</f>
        <v>0.8856944444</v>
      </c>
    </row>
    <row r="239">
      <c r="A239" s="2">
        <v>5.31</v>
      </c>
      <c r="B239" s="2">
        <v>229.7</v>
      </c>
      <c r="C239" s="2">
        <v>800.9</v>
      </c>
      <c r="D239" s="2">
        <v>5.22</v>
      </c>
      <c r="E239" s="2">
        <v>0.66</v>
      </c>
      <c r="F239" s="2">
        <v>50.0</v>
      </c>
      <c r="G239" s="3">
        <v>44462.885794629634</v>
      </c>
      <c r="H239" s="5">
        <f>IFERROR(__xludf.DUMMYFUNCTION("SPLIT(G239,"","")"),44462.0)</f>
        <v>44462</v>
      </c>
      <c r="I239" s="6">
        <f>IFERROR(__xludf.DUMMYFUNCTION("""COMPUTED_VALUE"""),0.8857986111111111)</f>
        <v>0.8857986111</v>
      </c>
    </row>
    <row r="240">
      <c r="A240" s="2">
        <v>5.31</v>
      </c>
      <c r="B240" s="2">
        <v>229.7</v>
      </c>
      <c r="C240" s="2">
        <v>800.9</v>
      </c>
      <c r="D240" s="2">
        <v>5.22</v>
      </c>
      <c r="E240" s="2">
        <v>0.66</v>
      </c>
      <c r="F240" s="2">
        <v>50.0</v>
      </c>
      <c r="G240" s="3">
        <v>44462.88589322916</v>
      </c>
      <c r="H240" s="5">
        <f>IFERROR(__xludf.DUMMYFUNCTION("SPLIT(G240,"","")"),44462.0)</f>
        <v>44462</v>
      </c>
      <c r="I240" s="6">
        <f>IFERROR(__xludf.DUMMYFUNCTION("""COMPUTED_VALUE"""),0.8858912037037037)</f>
        <v>0.8858912037</v>
      </c>
    </row>
    <row r="241">
      <c r="A241" s="2">
        <v>5.32</v>
      </c>
      <c r="B241" s="2">
        <v>229.6</v>
      </c>
      <c r="C241" s="2">
        <v>800.9</v>
      </c>
      <c r="D241" s="2">
        <v>5.22</v>
      </c>
      <c r="E241" s="2">
        <v>0.66</v>
      </c>
      <c r="F241" s="2">
        <v>50.0</v>
      </c>
      <c r="G241" s="3">
        <v>44462.88599833334</v>
      </c>
      <c r="H241" s="5">
        <f>IFERROR(__xludf.DUMMYFUNCTION("SPLIT(G241,"","")"),44462.0)</f>
        <v>44462</v>
      </c>
      <c r="I241" s="6">
        <f>IFERROR(__xludf.DUMMYFUNCTION("""COMPUTED_VALUE"""),0.8859953703703703)</f>
        <v>0.8859953704</v>
      </c>
    </row>
    <row r="242">
      <c r="A242" s="2">
        <v>5.32</v>
      </c>
      <c r="B242" s="2">
        <v>229.6</v>
      </c>
      <c r="C242" s="2">
        <v>801.1</v>
      </c>
      <c r="D242" s="2">
        <v>5.22</v>
      </c>
      <c r="E242" s="2">
        <v>0.66</v>
      </c>
      <c r="F242" s="2">
        <v>49.9</v>
      </c>
      <c r="G242" s="3">
        <v>44462.88610130787</v>
      </c>
      <c r="H242" s="5">
        <f>IFERROR(__xludf.DUMMYFUNCTION("SPLIT(G242,"","")"),44462.0)</f>
        <v>44462</v>
      </c>
      <c r="I242" s="6">
        <f>IFERROR(__xludf.DUMMYFUNCTION("""COMPUTED_VALUE"""),0.886099537037037)</f>
        <v>0.886099537</v>
      </c>
    </row>
    <row r="243">
      <c r="A243" s="2">
        <v>5.32</v>
      </c>
      <c r="B243" s="2">
        <v>229.5</v>
      </c>
      <c r="C243" s="2">
        <v>801.2</v>
      </c>
      <c r="D243" s="2">
        <v>5.22</v>
      </c>
      <c r="E243" s="2">
        <v>0.66</v>
      </c>
      <c r="F243" s="2">
        <v>50.0</v>
      </c>
      <c r="G243" s="3">
        <v>44462.88620912037</v>
      </c>
      <c r="H243" s="5">
        <f>IFERROR(__xludf.DUMMYFUNCTION("SPLIT(G243,"","")"),44462.0)</f>
        <v>44462</v>
      </c>
      <c r="I243" s="6">
        <f>IFERROR(__xludf.DUMMYFUNCTION("""COMPUTED_VALUE"""),0.8862037037037037)</f>
        <v>0.8862037037</v>
      </c>
    </row>
    <row r="244">
      <c r="A244" s="2">
        <v>5.36</v>
      </c>
      <c r="B244" s="2">
        <v>228.1</v>
      </c>
      <c r="C244" s="2">
        <v>800.5</v>
      </c>
      <c r="D244" s="2">
        <v>5.23</v>
      </c>
      <c r="E244" s="2">
        <v>0.65</v>
      </c>
      <c r="F244" s="2">
        <v>49.9</v>
      </c>
      <c r="G244" s="3">
        <v>44462.88631368056</v>
      </c>
      <c r="H244" s="5">
        <f>IFERROR(__xludf.DUMMYFUNCTION("SPLIT(G244,"","")"),44462.0)</f>
        <v>44462</v>
      </c>
      <c r="I244" s="6">
        <f>IFERROR(__xludf.DUMMYFUNCTION("""COMPUTED_VALUE"""),0.8863194444444444)</f>
        <v>0.8863194444</v>
      </c>
    </row>
    <row r="245">
      <c r="A245" s="2">
        <v>5.32</v>
      </c>
      <c r="B245" s="2">
        <v>229.1</v>
      </c>
      <c r="C245" s="2">
        <v>801.2</v>
      </c>
      <c r="D245" s="2">
        <v>5.23</v>
      </c>
      <c r="E245" s="2">
        <v>0.66</v>
      </c>
      <c r="F245" s="2">
        <v>50.0</v>
      </c>
      <c r="G245" s="3">
        <v>44462.88642200231</v>
      </c>
      <c r="H245" s="5">
        <f>IFERROR(__xludf.DUMMYFUNCTION("SPLIT(G245,"","")"),44462.0)</f>
        <v>44462</v>
      </c>
      <c r="I245" s="6">
        <f>IFERROR(__xludf.DUMMYFUNCTION("""COMPUTED_VALUE"""),0.8864236111111111)</f>
        <v>0.8864236111</v>
      </c>
    </row>
    <row r="246">
      <c r="A246" s="2">
        <v>5.32</v>
      </c>
      <c r="B246" s="2">
        <v>229.3</v>
      </c>
      <c r="C246" s="2">
        <v>801.3</v>
      </c>
      <c r="D246" s="2">
        <v>5.23</v>
      </c>
      <c r="E246" s="2">
        <v>0.66</v>
      </c>
      <c r="F246" s="2">
        <v>50.0</v>
      </c>
      <c r="G246" s="3">
        <v>44462.88652144676</v>
      </c>
      <c r="H246" s="5">
        <f>IFERROR(__xludf.DUMMYFUNCTION("SPLIT(G246,"","")"),44462.0)</f>
        <v>44462</v>
      </c>
      <c r="I246" s="6">
        <f>IFERROR(__xludf.DUMMYFUNCTION("""COMPUTED_VALUE"""),0.8865162037037037)</f>
        <v>0.8865162037</v>
      </c>
    </row>
    <row r="247">
      <c r="A247" s="2">
        <v>5.31</v>
      </c>
      <c r="B247" s="2">
        <v>229.4</v>
      </c>
      <c r="C247" s="2">
        <v>801.4</v>
      </c>
      <c r="D247" s="2">
        <v>5.23</v>
      </c>
      <c r="E247" s="2">
        <v>0.66</v>
      </c>
      <c r="F247" s="2">
        <v>50.0</v>
      </c>
      <c r="G247" s="3">
        <v>44462.88662621527</v>
      </c>
      <c r="H247" s="5">
        <f>IFERROR(__xludf.DUMMYFUNCTION("SPLIT(G247,"","")"),44462.0)</f>
        <v>44462</v>
      </c>
      <c r="I247" s="6">
        <f>IFERROR(__xludf.DUMMYFUNCTION("""COMPUTED_VALUE"""),0.8866319444444445)</f>
        <v>0.8866319444</v>
      </c>
    </row>
    <row r="248">
      <c r="A248" s="2">
        <v>5.3</v>
      </c>
      <c r="B248" s="2">
        <v>229.5</v>
      </c>
      <c r="C248" s="2">
        <v>801.4</v>
      </c>
      <c r="D248" s="2">
        <v>5.24</v>
      </c>
      <c r="E248" s="2">
        <v>0.66</v>
      </c>
      <c r="F248" s="2">
        <v>50.0</v>
      </c>
      <c r="G248" s="3">
        <v>44462.88672850694</v>
      </c>
      <c r="H248" s="5">
        <f>IFERROR(__xludf.DUMMYFUNCTION("SPLIT(G248,"","")"),44462.0)</f>
        <v>44462</v>
      </c>
      <c r="I248" s="6">
        <f>IFERROR(__xludf.DUMMYFUNCTION("""COMPUTED_VALUE"""),0.886724537037037)</f>
        <v>0.886724537</v>
      </c>
    </row>
    <row r="249">
      <c r="A249" s="2">
        <v>5.3</v>
      </c>
      <c r="B249" s="2">
        <v>229.5</v>
      </c>
      <c r="C249" s="2">
        <v>801.7</v>
      </c>
      <c r="D249" s="2">
        <v>5.24</v>
      </c>
      <c r="E249" s="2">
        <v>0.66</v>
      </c>
      <c r="F249" s="2">
        <v>50.0</v>
      </c>
      <c r="G249" s="3">
        <v>44462.88683217592</v>
      </c>
      <c r="H249" s="5">
        <f>IFERROR(__xludf.DUMMYFUNCTION("SPLIT(G249,"","")"),44462.0)</f>
        <v>44462</v>
      </c>
      <c r="I249" s="6">
        <f>IFERROR(__xludf.DUMMYFUNCTION("""COMPUTED_VALUE"""),0.8868287037037037)</f>
        <v>0.8868287037</v>
      </c>
    </row>
    <row r="250">
      <c r="A250" s="2">
        <v>5.31</v>
      </c>
      <c r="B250" s="2">
        <v>229.4</v>
      </c>
      <c r="C250" s="2">
        <v>801.7</v>
      </c>
      <c r="D250" s="2">
        <v>5.24</v>
      </c>
      <c r="E250" s="2">
        <v>0.66</v>
      </c>
      <c r="F250" s="2">
        <v>50.0</v>
      </c>
      <c r="G250" s="3">
        <v>44462.88693334491</v>
      </c>
      <c r="H250" s="5">
        <f>IFERROR(__xludf.DUMMYFUNCTION("SPLIT(G250,"","")"),44462.0)</f>
        <v>44462</v>
      </c>
      <c r="I250" s="6">
        <f>IFERROR(__xludf.DUMMYFUNCTION("""COMPUTED_VALUE"""),0.8869328703703704)</f>
        <v>0.8869328704</v>
      </c>
    </row>
    <row r="251">
      <c r="A251" s="2">
        <v>5.31</v>
      </c>
      <c r="B251" s="2">
        <v>229.4</v>
      </c>
      <c r="C251" s="2">
        <v>801.7</v>
      </c>
      <c r="D251" s="2">
        <v>5.24</v>
      </c>
      <c r="E251" s="2">
        <v>0.66</v>
      </c>
      <c r="F251" s="2">
        <v>50.0</v>
      </c>
      <c r="G251" s="3">
        <v>44462.88702920139</v>
      </c>
      <c r="H251" s="5">
        <f>IFERROR(__xludf.DUMMYFUNCTION("SPLIT(G251,"","")"),44462.0)</f>
        <v>44462</v>
      </c>
      <c r="I251" s="6">
        <f>IFERROR(__xludf.DUMMYFUNCTION("""COMPUTED_VALUE"""),0.8870254629629629)</f>
        <v>0.887025463</v>
      </c>
    </row>
    <row r="252">
      <c r="A252" s="2">
        <v>5.31</v>
      </c>
      <c r="B252" s="2">
        <v>229.4</v>
      </c>
      <c r="C252" s="2">
        <v>801.9</v>
      </c>
      <c r="D252" s="2">
        <v>5.24</v>
      </c>
      <c r="E252" s="2">
        <v>0.66</v>
      </c>
      <c r="F252" s="2">
        <v>50.0</v>
      </c>
      <c r="G252" s="3">
        <v>44462.88712908565</v>
      </c>
      <c r="H252" s="5">
        <f>IFERROR(__xludf.DUMMYFUNCTION("SPLIT(G252,"","")"),44462.0)</f>
        <v>44462</v>
      </c>
      <c r="I252" s="6">
        <f>IFERROR(__xludf.DUMMYFUNCTION("""COMPUTED_VALUE"""),0.8871296296296296)</f>
        <v>0.8871296296</v>
      </c>
    </row>
    <row r="253">
      <c r="A253" s="2">
        <v>5.32</v>
      </c>
      <c r="B253" s="2">
        <v>228.8</v>
      </c>
      <c r="C253" s="2">
        <v>801.9</v>
      </c>
      <c r="D253" s="2">
        <v>5.24</v>
      </c>
      <c r="E253" s="2">
        <v>0.66</v>
      </c>
      <c r="F253" s="2">
        <v>50.0</v>
      </c>
      <c r="G253" s="3">
        <v>44462.88723854166</v>
      </c>
      <c r="H253" s="5">
        <f>IFERROR(__xludf.DUMMYFUNCTION("SPLIT(G253,"","")"),44462.0)</f>
        <v>44462</v>
      </c>
      <c r="I253" s="6">
        <f>IFERROR(__xludf.DUMMYFUNCTION("""COMPUTED_VALUE"""),0.8872337962962963)</f>
        <v>0.8872337963</v>
      </c>
    </row>
    <row r="254">
      <c r="A254" s="2">
        <v>5.33</v>
      </c>
      <c r="B254" s="2">
        <v>228.8</v>
      </c>
      <c r="C254" s="2">
        <v>801.9</v>
      </c>
      <c r="D254" s="2">
        <v>5.25</v>
      </c>
      <c r="E254" s="2">
        <v>0.66</v>
      </c>
      <c r="F254" s="2">
        <v>50.0</v>
      </c>
      <c r="G254" s="3">
        <v>44462.88734443287</v>
      </c>
      <c r="H254" s="5">
        <f>IFERROR(__xludf.DUMMYFUNCTION("SPLIT(G254,"","")"),44462.0)</f>
        <v>44462</v>
      </c>
      <c r="I254" s="6">
        <f>IFERROR(__xludf.DUMMYFUNCTION("""COMPUTED_VALUE"""),0.887349537037037)</f>
        <v>0.887349537</v>
      </c>
    </row>
    <row r="255">
      <c r="A255" s="2">
        <v>5.34</v>
      </c>
      <c r="B255" s="2">
        <v>228.7</v>
      </c>
      <c r="C255" s="2">
        <v>802.1</v>
      </c>
      <c r="D255" s="2">
        <v>5.25</v>
      </c>
      <c r="E255" s="2">
        <v>0.66</v>
      </c>
      <c r="F255" s="2">
        <v>50.0</v>
      </c>
      <c r="G255" s="3">
        <v>44462.887449155096</v>
      </c>
      <c r="H255" s="5">
        <f>IFERROR(__xludf.DUMMYFUNCTION("SPLIT(G255,"","")"),44462.0)</f>
        <v>44462</v>
      </c>
      <c r="I255" s="6">
        <f>IFERROR(__xludf.DUMMYFUNCTION("""COMPUTED_VALUE"""),0.8874537037037037)</f>
        <v>0.8874537037</v>
      </c>
    </row>
    <row r="256">
      <c r="A256" s="2">
        <v>5.34</v>
      </c>
      <c r="B256" s="2">
        <v>228.9</v>
      </c>
      <c r="C256" s="2">
        <v>802.1</v>
      </c>
      <c r="D256" s="2">
        <v>5.25</v>
      </c>
      <c r="E256" s="2">
        <v>0.66</v>
      </c>
      <c r="F256" s="2">
        <v>50.0</v>
      </c>
      <c r="G256" s="3">
        <v>44462.88755354167</v>
      </c>
      <c r="H256" s="5">
        <f>IFERROR(__xludf.DUMMYFUNCTION("SPLIT(G256,"","")"),44462.0)</f>
        <v>44462</v>
      </c>
      <c r="I256" s="6">
        <f>IFERROR(__xludf.DUMMYFUNCTION("""COMPUTED_VALUE"""),0.8875578703703704)</f>
        <v>0.8875578704</v>
      </c>
    </row>
    <row r="257">
      <c r="A257" s="2">
        <v>5.34</v>
      </c>
      <c r="B257" s="2">
        <v>228.9</v>
      </c>
      <c r="C257" s="2">
        <v>802.3</v>
      </c>
      <c r="D257" s="2">
        <v>5.25</v>
      </c>
      <c r="E257" s="2">
        <v>0.66</v>
      </c>
      <c r="F257" s="2">
        <v>50.0</v>
      </c>
      <c r="G257" s="3">
        <v>44462.887657141204</v>
      </c>
      <c r="H257" s="5">
        <f>IFERROR(__xludf.DUMMYFUNCTION("SPLIT(G257,"","")"),44462.0)</f>
        <v>44462</v>
      </c>
      <c r="I257" s="6">
        <f>IFERROR(__xludf.DUMMYFUNCTION("""COMPUTED_VALUE"""),0.887662037037037)</f>
        <v>0.887662037</v>
      </c>
    </row>
    <row r="258">
      <c r="A258" s="2">
        <v>5.34</v>
      </c>
      <c r="B258" s="2">
        <v>229.0</v>
      </c>
      <c r="C258" s="2">
        <v>802.3</v>
      </c>
      <c r="D258" s="2">
        <v>5.26</v>
      </c>
      <c r="E258" s="2">
        <v>0.66</v>
      </c>
      <c r="F258" s="2">
        <v>50.0</v>
      </c>
      <c r="G258" s="3">
        <v>44462.88776648148</v>
      </c>
      <c r="H258" s="5">
        <f>IFERROR(__xludf.DUMMYFUNCTION("SPLIT(G258,"","")"),44462.0)</f>
        <v>44462</v>
      </c>
      <c r="I258" s="6">
        <f>IFERROR(__xludf.DUMMYFUNCTION("""COMPUTED_VALUE"""),0.8877662037037037)</f>
        <v>0.8877662037</v>
      </c>
    </row>
    <row r="259">
      <c r="A259" s="2">
        <v>5.34</v>
      </c>
      <c r="B259" s="2">
        <v>229.0</v>
      </c>
      <c r="C259" s="2">
        <v>802.3</v>
      </c>
      <c r="D259" s="2">
        <v>5.26</v>
      </c>
      <c r="E259" s="2">
        <v>0.66</v>
      </c>
      <c r="F259" s="2">
        <v>50.0</v>
      </c>
      <c r="G259" s="3">
        <v>44462.88787527778</v>
      </c>
      <c r="H259" s="5">
        <f>IFERROR(__xludf.DUMMYFUNCTION("SPLIT(G259,"","")"),44462.0)</f>
        <v>44462</v>
      </c>
      <c r="I259" s="6">
        <f>IFERROR(__xludf.DUMMYFUNCTION("""COMPUTED_VALUE"""),0.8878703703703704)</f>
        <v>0.8878703704</v>
      </c>
    </row>
    <row r="260">
      <c r="A260" s="2">
        <v>5.34</v>
      </c>
      <c r="B260" s="2">
        <v>228.9</v>
      </c>
      <c r="C260" s="2">
        <v>802.3</v>
      </c>
      <c r="D260" s="2">
        <v>5.26</v>
      </c>
      <c r="E260" s="2">
        <v>0.66</v>
      </c>
      <c r="F260" s="2">
        <v>50.0</v>
      </c>
      <c r="G260" s="3">
        <v>44462.88798114583</v>
      </c>
      <c r="H260" s="5">
        <f>IFERROR(__xludf.DUMMYFUNCTION("SPLIT(G260,"","")"),44462.0)</f>
        <v>44462</v>
      </c>
      <c r="I260" s="6">
        <f>IFERROR(__xludf.DUMMYFUNCTION("""COMPUTED_VALUE"""),0.8879861111111111)</f>
        <v>0.8879861111</v>
      </c>
    </row>
    <row r="261">
      <c r="A261" s="2">
        <v>5.34</v>
      </c>
      <c r="B261" s="2">
        <v>228.9</v>
      </c>
      <c r="C261" s="2">
        <v>802.3</v>
      </c>
      <c r="D261" s="2">
        <v>5.26</v>
      </c>
      <c r="E261" s="2">
        <v>0.66</v>
      </c>
      <c r="F261" s="2">
        <v>49.9</v>
      </c>
      <c r="G261" s="3">
        <v>44462.888084085644</v>
      </c>
      <c r="H261" s="5">
        <f>IFERROR(__xludf.DUMMYFUNCTION("SPLIT(G261,"","")"),44462.0)</f>
        <v>44462</v>
      </c>
      <c r="I261" s="6">
        <f>IFERROR(__xludf.DUMMYFUNCTION("""COMPUTED_VALUE"""),0.8880787037037037)</f>
        <v>0.8880787037</v>
      </c>
    </row>
    <row r="262">
      <c r="A262" s="2">
        <v>5.34</v>
      </c>
      <c r="B262" s="2">
        <v>228.8</v>
      </c>
      <c r="C262" s="2">
        <v>802.4</v>
      </c>
      <c r="D262" s="2">
        <v>5.26</v>
      </c>
      <c r="E262" s="2">
        <v>0.66</v>
      </c>
      <c r="F262" s="2">
        <v>49.9</v>
      </c>
      <c r="G262" s="3">
        <v>44462.88818991898</v>
      </c>
      <c r="H262" s="5">
        <f>IFERROR(__xludf.DUMMYFUNCTION("SPLIT(G262,"","")"),44462.0)</f>
        <v>44462</v>
      </c>
      <c r="I262" s="6">
        <f>IFERROR(__xludf.DUMMYFUNCTION("""COMPUTED_VALUE"""),0.8881944444444444)</f>
        <v>0.8881944444</v>
      </c>
    </row>
    <row r="263">
      <c r="A263" s="2">
        <v>5.36</v>
      </c>
      <c r="B263" s="2">
        <v>228.7</v>
      </c>
      <c r="C263" s="2">
        <v>802.5</v>
      </c>
      <c r="D263" s="2">
        <v>5.26</v>
      </c>
      <c r="E263" s="2">
        <v>0.65</v>
      </c>
      <c r="F263" s="2">
        <v>49.9</v>
      </c>
      <c r="G263" s="3">
        <v>44462.88829495371</v>
      </c>
      <c r="H263" s="5">
        <f>IFERROR(__xludf.DUMMYFUNCTION("SPLIT(G263,"","")"),44462.0)</f>
        <v>44462</v>
      </c>
      <c r="I263" s="6">
        <f>IFERROR(__xludf.DUMMYFUNCTION("""COMPUTED_VALUE"""),0.8882986111111111)</f>
        <v>0.8882986111</v>
      </c>
    </row>
    <row r="264">
      <c r="A264" s="2">
        <v>5.36</v>
      </c>
      <c r="B264" s="2">
        <v>228.6</v>
      </c>
      <c r="C264" s="2">
        <v>802.5</v>
      </c>
      <c r="D264" s="2">
        <v>5.27</v>
      </c>
      <c r="E264" s="2">
        <v>0.65</v>
      </c>
      <c r="F264" s="2">
        <v>49.9</v>
      </c>
      <c r="G264" s="3">
        <v>44462.88839503472</v>
      </c>
      <c r="H264" s="5">
        <f>IFERROR(__xludf.DUMMYFUNCTION("SPLIT(G264,"","")"),44462.0)</f>
        <v>44462</v>
      </c>
      <c r="I264" s="6">
        <f>IFERROR(__xludf.DUMMYFUNCTION("""COMPUTED_VALUE"""),0.8883912037037037)</f>
        <v>0.8883912037</v>
      </c>
    </row>
    <row r="265">
      <c r="A265" s="2">
        <v>5.36</v>
      </c>
      <c r="B265" s="2">
        <v>228.6</v>
      </c>
      <c r="C265" s="2">
        <v>802.6</v>
      </c>
      <c r="D265" s="2">
        <v>5.27</v>
      </c>
      <c r="E265" s="2">
        <v>0.65</v>
      </c>
      <c r="F265" s="2">
        <v>50.0</v>
      </c>
      <c r="G265" s="3">
        <v>44462.88849607639</v>
      </c>
      <c r="H265" s="5">
        <f>IFERROR(__xludf.DUMMYFUNCTION("SPLIT(G265,"","")"),44462.0)</f>
        <v>44462</v>
      </c>
      <c r="I265" s="6">
        <f>IFERROR(__xludf.DUMMYFUNCTION("""COMPUTED_VALUE"""),0.8884953703703704)</f>
        <v>0.8884953704</v>
      </c>
    </row>
    <row r="266">
      <c r="A266" s="2">
        <v>5.36</v>
      </c>
      <c r="B266" s="2">
        <v>228.7</v>
      </c>
      <c r="C266" s="2">
        <v>802.6</v>
      </c>
      <c r="D266" s="2">
        <v>5.27</v>
      </c>
      <c r="E266" s="2">
        <v>0.65</v>
      </c>
      <c r="F266" s="2">
        <v>50.0</v>
      </c>
      <c r="G266" s="3">
        <v>44462.888602349536</v>
      </c>
      <c r="H266" s="5">
        <f>IFERROR(__xludf.DUMMYFUNCTION("SPLIT(G266,"","")"),44462.0)</f>
        <v>44462</v>
      </c>
      <c r="I266" s="6">
        <f>IFERROR(__xludf.DUMMYFUNCTION("""COMPUTED_VALUE"""),0.8885995370370371)</f>
        <v>0.888599537</v>
      </c>
    </row>
    <row r="267">
      <c r="A267" s="2">
        <v>5.36</v>
      </c>
      <c r="B267" s="2">
        <v>228.7</v>
      </c>
      <c r="C267" s="2">
        <v>802.8</v>
      </c>
      <c r="D267" s="2">
        <v>5.27</v>
      </c>
      <c r="E267" s="2">
        <v>0.66</v>
      </c>
      <c r="F267" s="2">
        <v>50.0</v>
      </c>
      <c r="G267" s="3">
        <v>44462.88870585649</v>
      </c>
      <c r="H267" s="5">
        <f>IFERROR(__xludf.DUMMYFUNCTION("SPLIT(G267,"","")"),44462.0)</f>
        <v>44462</v>
      </c>
      <c r="I267" s="6">
        <f>IFERROR(__xludf.DUMMYFUNCTION("""COMPUTED_VALUE"""),0.8887037037037037)</f>
        <v>0.8887037037</v>
      </c>
    </row>
    <row r="268">
      <c r="A268" s="2">
        <v>5.36</v>
      </c>
      <c r="B268" s="2">
        <v>228.7</v>
      </c>
      <c r="C268" s="2">
        <v>802.8</v>
      </c>
      <c r="D268" s="2">
        <v>5.28</v>
      </c>
      <c r="E268" s="2">
        <v>0.66</v>
      </c>
      <c r="F268" s="2">
        <v>50.0</v>
      </c>
      <c r="G268" s="3">
        <v>44462.888818437496</v>
      </c>
      <c r="H268" s="5">
        <f>IFERROR(__xludf.DUMMYFUNCTION("SPLIT(G268,"","")"),44462.0)</f>
        <v>44462</v>
      </c>
      <c r="I268" s="6">
        <f>IFERROR(__xludf.DUMMYFUNCTION("""COMPUTED_VALUE"""),0.8888194444444445)</f>
        <v>0.8888194444</v>
      </c>
    </row>
    <row r="269">
      <c r="A269" s="2">
        <v>5.35</v>
      </c>
      <c r="B269" s="2">
        <v>229.0</v>
      </c>
      <c r="C269" s="2">
        <v>802.8</v>
      </c>
      <c r="D269" s="2">
        <v>5.28</v>
      </c>
      <c r="E269" s="2">
        <v>0.66</v>
      </c>
      <c r="F269" s="2">
        <v>50.0</v>
      </c>
      <c r="G269" s="3">
        <v>44462.88892372685</v>
      </c>
      <c r="H269" s="5">
        <f>IFERROR(__xludf.DUMMYFUNCTION("SPLIT(G269,"","")"),44462.0)</f>
        <v>44462</v>
      </c>
      <c r="I269" s="6">
        <f>IFERROR(__xludf.DUMMYFUNCTION("""COMPUTED_VALUE"""),0.8889236111111111)</f>
        <v>0.8889236111</v>
      </c>
    </row>
    <row r="270">
      <c r="A270" s="2">
        <v>5.35</v>
      </c>
      <c r="B270" s="2">
        <v>229.0</v>
      </c>
      <c r="C270" s="2">
        <v>802.8</v>
      </c>
      <c r="D270" s="2">
        <v>5.28</v>
      </c>
      <c r="E270" s="2">
        <v>0.66</v>
      </c>
      <c r="F270" s="2">
        <v>50.0</v>
      </c>
      <c r="G270" s="3">
        <v>44462.88902333334</v>
      </c>
      <c r="H270" s="5">
        <f>IFERROR(__xludf.DUMMYFUNCTION("SPLIT(G270,"","")"),44462.0)</f>
        <v>44462</v>
      </c>
      <c r="I270" s="6">
        <f>IFERROR(__xludf.DUMMYFUNCTION("""COMPUTED_VALUE"""),0.8890277777777778)</f>
        <v>0.8890277778</v>
      </c>
    </row>
    <row r="271">
      <c r="A271" s="2">
        <v>5.35</v>
      </c>
      <c r="B271" s="2">
        <v>229.3</v>
      </c>
      <c r="C271" s="2">
        <v>803.0</v>
      </c>
      <c r="D271" s="2">
        <v>5.28</v>
      </c>
      <c r="E271" s="2">
        <v>0.65</v>
      </c>
      <c r="F271" s="2">
        <v>50.0</v>
      </c>
      <c r="G271" s="3">
        <v>44462.889122106484</v>
      </c>
      <c r="H271" s="5">
        <f>IFERROR(__xludf.DUMMYFUNCTION("SPLIT(G271,"","")"),44462.0)</f>
        <v>44462</v>
      </c>
      <c r="I271" s="6">
        <f>IFERROR(__xludf.DUMMYFUNCTION("""COMPUTED_VALUE"""),0.8891203703703704)</f>
        <v>0.8891203704</v>
      </c>
    </row>
    <row r="272">
      <c r="A272" s="2">
        <v>5.35</v>
      </c>
      <c r="B272" s="2">
        <v>229.3</v>
      </c>
      <c r="C272" s="2">
        <v>803.1</v>
      </c>
      <c r="D272" s="2">
        <v>5.28</v>
      </c>
      <c r="E272" s="2">
        <v>0.65</v>
      </c>
      <c r="F272" s="2">
        <v>50.0</v>
      </c>
      <c r="G272" s="3">
        <v>44462.889223668986</v>
      </c>
      <c r="H272" s="5">
        <f>IFERROR(__xludf.DUMMYFUNCTION("SPLIT(G272,"","")"),44462.0)</f>
        <v>44462</v>
      </c>
      <c r="I272" s="6">
        <f>IFERROR(__xludf.DUMMYFUNCTION("""COMPUTED_VALUE"""),0.8892245370370371)</f>
        <v>0.889224537</v>
      </c>
    </row>
    <row r="273">
      <c r="A273" s="2">
        <v>5.34</v>
      </c>
      <c r="B273" s="2">
        <v>229.3</v>
      </c>
      <c r="C273" s="2">
        <v>803.1</v>
      </c>
      <c r="D273" s="2">
        <v>5.28</v>
      </c>
      <c r="E273" s="2">
        <v>0.66</v>
      </c>
      <c r="F273" s="2">
        <v>50.0</v>
      </c>
      <c r="G273" s="3">
        <v>44462.889325625</v>
      </c>
      <c r="H273" s="5">
        <f>IFERROR(__xludf.DUMMYFUNCTION("SPLIT(G273,"","")"),44462.0)</f>
        <v>44462</v>
      </c>
      <c r="I273" s="6">
        <f>IFERROR(__xludf.DUMMYFUNCTION("""COMPUTED_VALUE"""),0.8893287037037036)</f>
        <v>0.8893287037</v>
      </c>
    </row>
    <row r="274">
      <c r="A274" s="2">
        <v>5.34</v>
      </c>
      <c r="B274" s="2">
        <v>229.4</v>
      </c>
      <c r="C274" s="2">
        <v>803.2</v>
      </c>
      <c r="D274" s="2">
        <v>5.29</v>
      </c>
      <c r="E274" s="2">
        <v>0.66</v>
      </c>
      <c r="F274" s="2">
        <v>50.0</v>
      </c>
      <c r="G274" s="3">
        <v>44462.8894269213</v>
      </c>
      <c r="H274" s="5">
        <f>IFERROR(__xludf.DUMMYFUNCTION("SPLIT(G274,"","")"),44462.0)</f>
        <v>44462</v>
      </c>
      <c r="I274" s="6">
        <f>IFERROR(__xludf.DUMMYFUNCTION("""COMPUTED_VALUE"""),0.8894212962962963)</f>
        <v>0.8894212963</v>
      </c>
    </row>
    <row r="275">
      <c r="A275" s="2">
        <v>5.35</v>
      </c>
      <c r="B275" s="2">
        <v>229.2</v>
      </c>
      <c r="C275" s="2">
        <v>803.3</v>
      </c>
      <c r="D275" s="2">
        <v>5.29</v>
      </c>
      <c r="E275" s="2">
        <v>0.66</v>
      </c>
      <c r="F275" s="2">
        <v>50.0</v>
      </c>
      <c r="G275" s="3">
        <v>44462.88952902777</v>
      </c>
      <c r="H275" s="5">
        <f>IFERROR(__xludf.DUMMYFUNCTION("SPLIT(G275,"","")"),44462.0)</f>
        <v>44462</v>
      </c>
      <c r="I275" s="6">
        <f>IFERROR(__xludf.DUMMYFUNCTION("""COMPUTED_VALUE"""),0.889525462962963)</f>
        <v>0.889525463</v>
      </c>
    </row>
    <row r="276">
      <c r="A276" s="2">
        <v>5.35</v>
      </c>
      <c r="B276" s="2">
        <v>229.0</v>
      </c>
      <c r="C276" s="2">
        <v>803.4</v>
      </c>
      <c r="D276" s="2">
        <v>5.29</v>
      </c>
      <c r="E276" s="2">
        <v>0.66</v>
      </c>
      <c r="F276" s="2">
        <v>50.0</v>
      </c>
      <c r="G276" s="3">
        <v>44462.88963347222</v>
      </c>
      <c r="H276" s="5">
        <f>IFERROR(__xludf.DUMMYFUNCTION("SPLIT(G276,"","")"),44462.0)</f>
        <v>44462</v>
      </c>
      <c r="I276" s="6">
        <f>IFERROR(__xludf.DUMMYFUNCTION("""COMPUTED_VALUE"""),0.8896296296296297)</f>
        <v>0.8896296296</v>
      </c>
    </row>
    <row r="277">
      <c r="A277" s="2">
        <v>5.35</v>
      </c>
      <c r="B277" s="2">
        <v>229.0</v>
      </c>
      <c r="C277" s="2">
        <v>803.5</v>
      </c>
      <c r="D277" s="2">
        <v>5.29</v>
      </c>
      <c r="E277" s="2">
        <v>0.66</v>
      </c>
      <c r="F277" s="2">
        <v>50.0</v>
      </c>
      <c r="G277" s="3">
        <v>44462.88973606481</v>
      </c>
      <c r="H277" s="5">
        <f>IFERROR(__xludf.DUMMYFUNCTION("SPLIT(G277,"","")"),44462.0)</f>
        <v>44462</v>
      </c>
      <c r="I277" s="6">
        <f>IFERROR(__xludf.DUMMYFUNCTION("""COMPUTED_VALUE"""),0.8897337962962963)</f>
        <v>0.8897337963</v>
      </c>
    </row>
    <row r="278">
      <c r="A278" s="2">
        <v>5.35</v>
      </c>
      <c r="B278" s="2">
        <v>229.1</v>
      </c>
      <c r="C278" s="2">
        <v>803.5</v>
      </c>
      <c r="D278" s="2">
        <v>5.3</v>
      </c>
      <c r="E278" s="2">
        <v>0.66</v>
      </c>
      <c r="F278" s="2">
        <v>50.0</v>
      </c>
      <c r="G278" s="3">
        <v>44462.889838738425</v>
      </c>
      <c r="H278" s="5">
        <f>IFERROR(__xludf.DUMMYFUNCTION("SPLIT(G278,"","")"),44462.0)</f>
        <v>44462</v>
      </c>
      <c r="I278" s="6">
        <f>IFERROR(__xludf.DUMMYFUNCTION("""COMPUTED_VALUE"""),0.8898379629629629)</f>
        <v>0.889837963</v>
      </c>
    </row>
    <row r="279">
      <c r="A279" s="2">
        <v>5.35</v>
      </c>
      <c r="B279" s="2">
        <v>229.1</v>
      </c>
      <c r="C279" s="2">
        <v>803.7</v>
      </c>
      <c r="D279" s="2">
        <v>5.3</v>
      </c>
      <c r="E279" s="2">
        <v>0.66</v>
      </c>
      <c r="F279" s="2">
        <v>50.0</v>
      </c>
      <c r="G279" s="3">
        <v>44462.88994140046</v>
      </c>
      <c r="H279" s="5">
        <f>IFERROR(__xludf.DUMMYFUNCTION("SPLIT(G279,"","")"),44462.0)</f>
        <v>44462</v>
      </c>
      <c r="I279" s="6">
        <f>IFERROR(__xludf.DUMMYFUNCTION("""COMPUTED_VALUE"""),0.8899421296296296)</f>
        <v>0.8899421296</v>
      </c>
    </row>
    <row r="280">
      <c r="A280" s="2">
        <v>5.35</v>
      </c>
      <c r="B280" s="2">
        <v>229.1</v>
      </c>
      <c r="C280" s="2">
        <v>803.8</v>
      </c>
      <c r="D280" s="2">
        <v>5.3</v>
      </c>
      <c r="E280" s="2">
        <v>0.66</v>
      </c>
      <c r="F280" s="2">
        <v>50.0</v>
      </c>
      <c r="G280" s="3">
        <v>44462.8900443287</v>
      </c>
      <c r="H280" s="5">
        <f>IFERROR(__xludf.DUMMYFUNCTION("SPLIT(G280,"","")"),44462.0)</f>
        <v>44462</v>
      </c>
      <c r="I280" s="6">
        <f>IFERROR(__xludf.DUMMYFUNCTION("""COMPUTED_VALUE"""),0.8900462962962963)</f>
        <v>0.8900462963</v>
      </c>
    </row>
    <row r="281">
      <c r="A281" s="2">
        <v>5.35</v>
      </c>
      <c r="B281" s="2">
        <v>229.1</v>
      </c>
      <c r="C281" s="2">
        <v>803.8</v>
      </c>
      <c r="D281" s="2">
        <v>5.3</v>
      </c>
      <c r="E281" s="2">
        <v>0.66</v>
      </c>
      <c r="F281" s="2">
        <v>50.0</v>
      </c>
      <c r="G281" s="3">
        <v>44462.89014579861</v>
      </c>
      <c r="H281" s="5">
        <f>IFERROR(__xludf.DUMMYFUNCTION("SPLIT(G281,"","")"),44462.0)</f>
        <v>44462</v>
      </c>
      <c r="I281" s="6">
        <f>IFERROR(__xludf.DUMMYFUNCTION("""COMPUTED_VALUE"""),0.890150462962963)</f>
        <v>0.890150463</v>
      </c>
    </row>
    <row r="282">
      <c r="A282" s="2">
        <v>5.36</v>
      </c>
      <c r="B282" s="2">
        <v>229.1</v>
      </c>
      <c r="C282" s="2">
        <v>804.0</v>
      </c>
      <c r="D282" s="2">
        <v>5.3</v>
      </c>
      <c r="E282" s="2">
        <v>0.66</v>
      </c>
      <c r="F282" s="2">
        <v>50.0</v>
      </c>
      <c r="G282" s="3">
        <v>44462.89025067129</v>
      </c>
      <c r="H282" s="5">
        <f>IFERROR(__xludf.DUMMYFUNCTION("SPLIT(G282,"","")"),44462.0)</f>
        <v>44462</v>
      </c>
      <c r="I282" s="6">
        <f>IFERROR(__xludf.DUMMYFUNCTION("""COMPUTED_VALUE"""),0.8902546296296296)</f>
        <v>0.8902546296</v>
      </c>
    </row>
    <row r="283">
      <c r="A283" s="2">
        <v>5.35</v>
      </c>
      <c r="B283" s="2">
        <v>229.3</v>
      </c>
      <c r="C283" s="2">
        <v>804.1</v>
      </c>
      <c r="D283" s="2">
        <v>5.3</v>
      </c>
      <c r="E283" s="2">
        <v>0.66</v>
      </c>
      <c r="F283" s="2">
        <v>50.0</v>
      </c>
      <c r="G283" s="3">
        <v>44462.890356840275</v>
      </c>
      <c r="H283" s="5">
        <f>IFERROR(__xludf.DUMMYFUNCTION("SPLIT(G283,"","")"),44462.0)</f>
        <v>44462</v>
      </c>
      <c r="I283" s="6">
        <f>IFERROR(__xludf.DUMMYFUNCTION("""COMPUTED_VALUE"""),0.8903587962962963)</f>
        <v>0.8903587963</v>
      </c>
    </row>
    <row r="284">
      <c r="A284" s="2">
        <v>5.35</v>
      </c>
      <c r="B284" s="2">
        <v>229.3</v>
      </c>
      <c r="C284" s="2">
        <v>804.1</v>
      </c>
      <c r="D284" s="2">
        <v>5.31</v>
      </c>
      <c r="E284" s="2">
        <v>0.66</v>
      </c>
      <c r="F284" s="2">
        <v>50.0</v>
      </c>
      <c r="G284" s="3">
        <v>44462.89045607639</v>
      </c>
      <c r="H284" s="5">
        <f>IFERROR(__xludf.DUMMYFUNCTION("SPLIT(G284,"","")"),44462.0)</f>
        <v>44462</v>
      </c>
      <c r="I284" s="6">
        <f>IFERROR(__xludf.DUMMYFUNCTION("""COMPUTED_VALUE"""),0.8904513888888889)</f>
        <v>0.8904513889</v>
      </c>
    </row>
    <row r="285">
      <c r="A285" s="2">
        <v>5.35</v>
      </c>
      <c r="B285" s="2">
        <v>228.8</v>
      </c>
      <c r="C285" s="2">
        <v>804.1</v>
      </c>
      <c r="D285" s="2">
        <v>5.31</v>
      </c>
      <c r="E285" s="2">
        <v>0.66</v>
      </c>
      <c r="F285" s="2">
        <v>50.0</v>
      </c>
      <c r="G285" s="3">
        <v>44462.89055668982</v>
      </c>
      <c r="H285" s="5">
        <f>IFERROR(__xludf.DUMMYFUNCTION("SPLIT(G285,"","")"),44462.0)</f>
        <v>44462</v>
      </c>
      <c r="I285" s="6">
        <f>IFERROR(__xludf.DUMMYFUNCTION("""COMPUTED_VALUE"""),0.8905555555555555)</f>
        <v>0.8905555556</v>
      </c>
    </row>
    <row r="286">
      <c r="A286" s="2">
        <v>5.36</v>
      </c>
      <c r="B286" s="2">
        <v>228.7</v>
      </c>
      <c r="C286" s="2">
        <v>804.2</v>
      </c>
      <c r="D286" s="2">
        <v>5.31</v>
      </c>
      <c r="E286" s="2">
        <v>0.66</v>
      </c>
      <c r="F286" s="2">
        <v>50.0</v>
      </c>
      <c r="G286" s="3">
        <v>44462.89065952547</v>
      </c>
      <c r="H286" s="5">
        <f>IFERROR(__xludf.DUMMYFUNCTION("SPLIT(G286,"","")"),44462.0)</f>
        <v>44462</v>
      </c>
      <c r="I286" s="6">
        <f>IFERROR(__xludf.DUMMYFUNCTION("""COMPUTED_VALUE"""),0.8906597222222222)</f>
        <v>0.8906597222</v>
      </c>
    </row>
    <row r="287">
      <c r="A287" s="2">
        <v>5.36</v>
      </c>
      <c r="B287" s="2">
        <v>228.7</v>
      </c>
      <c r="C287" s="2">
        <v>804.2</v>
      </c>
      <c r="D287" s="2">
        <v>5.31</v>
      </c>
      <c r="E287" s="2">
        <v>0.66</v>
      </c>
      <c r="F287" s="2">
        <v>50.0</v>
      </c>
      <c r="G287" s="3">
        <v>44462.890770868056</v>
      </c>
      <c r="H287" s="5">
        <f>IFERROR(__xludf.DUMMYFUNCTION("SPLIT(G287,"","")"),44462.0)</f>
        <v>44462</v>
      </c>
      <c r="I287" s="6">
        <f>IFERROR(__xludf.DUMMYFUNCTION("""COMPUTED_VALUE"""),0.890775462962963)</f>
        <v>0.890775463</v>
      </c>
    </row>
    <row r="288">
      <c r="A288" s="2">
        <v>5.36</v>
      </c>
      <c r="B288" s="2">
        <v>228.8</v>
      </c>
      <c r="C288" s="2">
        <v>804.4</v>
      </c>
      <c r="D288" s="2">
        <v>5.32</v>
      </c>
      <c r="E288" s="2">
        <v>0.66</v>
      </c>
      <c r="F288" s="2">
        <v>50.0</v>
      </c>
      <c r="G288" s="3">
        <v>44462.89087756944</v>
      </c>
      <c r="H288" s="5">
        <f>IFERROR(__xludf.DUMMYFUNCTION("SPLIT(G288,"","")"),44462.0)</f>
        <v>44462</v>
      </c>
      <c r="I288" s="6">
        <f>IFERROR(__xludf.DUMMYFUNCTION("""COMPUTED_VALUE"""),0.8908796296296296)</f>
        <v>0.8908796296</v>
      </c>
    </row>
    <row r="289">
      <c r="A289" s="2">
        <v>5.35</v>
      </c>
      <c r="B289" s="2">
        <v>228.8</v>
      </c>
      <c r="C289" s="2">
        <v>804.5</v>
      </c>
      <c r="D289" s="2">
        <v>5.32</v>
      </c>
      <c r="E289" s="2">
        <v>0.66</v>
      </c>
      <c r="F289" s="2">
        <v>50.0</v>
      </c>
      <c r="G289" s="3">
        <v>44462.89098253472</v>
      </c>
      <c r="H289" s="5">
        <f>IFERROR(__xludf.DUMMYFUNCTION("SPLIT(G289,"","")"),44462.0)</f>
        <v>44462</v>
      </c>
      <c r="I289" s="6">
        <f>IFERROR(__xludf.DUMMYFUNCTION("""COMPUTED_VALUE"""),0.8909837962962963)</f>
        <v>0.8909837963</v>
      </c>
    </row>
    <row r="290">
      <c r="A290" s="2">
        <v>5.36</v>
      </c>
      <c r="B290" s="2">
        <v>228.8</v>
      </c>
      <c r="C290" s="2">
        <v>804.6</v>
      </c>
      <c r="D290" s="2">
        <v>5.32</v>
      </c>
      <c r="E290" s="2">
        <v>0.66</v>
      </c>
      <c r="F290" s="2">
        <v>50.0</v>
      </c>
      <c r="G290" s="3">
        <v>44462.891093611106</v>
      </c>
      <c r="H290" s="5">
        <f>IFERROR(__xludf.DUMMYFUNCTION("SPLIT(G290,"","")"),44462.0)</f>
        <v>44462</v>
      </c>
      <c r="I290" s="6">
        <f>IFERROR(__xludf.DUMMYFUNCTION("""COMPUTED_VALUE"""),0.891087962962963)</f>
        <v>0.891087963</v>
      </c>
    </row>
    <row r="291">
      <c r="A291" s="2">
        <v>5.35</v>
      </c>
      <c r="B291" s="2">
        <v>228.7</v>
      </c>
      <c r="C291" s="2">
        <v>804.7</v>
      </c>
      <c r="D291" s="2">
        <v>5.32</v>
      </c>
      <c r="E291" s="2">
        <v>0.66</v>
      </c>
      <c r="F291" s="2">
        <v>50.0</v>
      </c>
      <c r="G291" s="3">
        <v>44462.89119836806</v>
      </c>
      <c r="H291" s="5">
        <f>IFERROR(__xludf.DUMMYFUNCTION("SPLIT(G291,"","")"),44462.0)</f>
        <v>44462</v>
      </c>
      <c r="I291" s="6">
        <f>IFERROR(__xludf.DUMMYFUNCTION("""COMPUTED_VALUE"""),0.8912037037037037)</f>
        <v>0.8912037037</v>
      </c>
    </row>
    <row r="292">
      <c r="A292" s="2">
        <v>5.36</v>
      </c>
      <c r="B292" s="2">
        <v>228.7</v>
      </c>
      <c r="C292" s="2">
        <v>804.7</v>
      </c>
      <c r="D292" s="2">
        <v>5.32</v>
      </c>
      <c r="E292" s="2">
        <v>0.66</v>
      </c>
      <c r="F292" s="2">
        <v>50.0</v>
      </c>
      <c r="G292" s="3">
        <v>44462.89130299768</v>
      </c>
      <c r="H292" s="5">
        <f>IFERROR(__xludf.DUMMYFUNCTION("SPLIT(G292,"","")"),44462.0)</f>
        <v>44462</v>
      </c>
      <c r="I292" s="6">
        <f>IFERROR(__xludf.DUMMYFUNCTION("""COMPUTED_VALUE"""),0.8913078703703704)</f>
        <v>0.8913078704</v>
      </c>
    </row>
    <row r="293">
      <c r="A293" s="2">
        <v>5.36</v>
      </c>
      <c r="B293" s="2">
        <v>228.7</v>
      </c>
      <c r="C293" s="2">
        <v>804.8</v>
      </c>
      <c r="D293" s="2">
        <v>5.32</v>
      </c>
      <c r="E293" s="2">
        <v>0.66</v>
      </c>
      <c r="F293" s="2">
        <v>50.0</v>
      </c>
      <c r="G293" s="3">
        <v>44462.89141045139</v>
      </c>
      <c r="H293" s="5">
        <f>IFERROR(__xludf.DUMMYFUNCTION("SPLIT(G293,"","")"),44462.0)</f>
        <v>44462</v>
      </c>
      <c r="I293" s="6">
        <f>IFERROR(__xludf.DUMMYFUNCTION("""COMPUTED_VALUE"""),0.8914120370370371)</f>
        <v>0.891412037</v>
      </c>
    </row>
    <row r="294">
      <c r="A294" s="2">
        <v>5.36</v>
      </c>
      <c r="B294" s="2">
        <v>228.8</v>
      </c>
      <c r="C294" s="2">
        <v>805.0</v>
      </c>
      <c r="D294" s="2">
        <v>5.33</v>
      </c>
      <c r="E294" s="2">
        <v>0.66</v>
      </c>
      <c r="F294" s="2">
        <v>50.0</v>
      </c>
      <c r="G294" s="3">
        <v>44462.8915121875</v>
      </c>
      <c r="H294" s="5">
        <f>IFERROR(__xludf.DUMMYFUNCTION("SPLIT(G294,"","")"),44462.0)</f>
        <v>44462</v>
      </c>
      <c r="I294" s="6">
        <f>IFERROR(__xludf.DUMMYFUNCTION("""COMPUTED_VALUE"""),0.8915162037037037)</f>
        <v>0.8915162037</v>
      </c>
    </row>
    <row r="295">
      <c r="A295" s="2">
        <v>5.36</v>
      </c>
      <c r="B295" s="2">
        <v>228.7</v>
      </c>
      <c r="C295" s="2">
        <v>804.8</v>
      </c>
      <c r="D295" s="2">
        <v>5.33</v>
      </c>
      <c r="E295" s="2">
        <v>0.66</v>
      </c>
      <c r="F295" s="2">
        <v>50.0</v>
      </c>
      <c r="G295" s="3">
        <v>44462.89161305556</v>
      </c>
      <c r="H295" s="5">
        <f>IFERROR(__xludf.DUMMYFUNCTION("SPLIT(G295,"","")"),44462.0)</f>
        <v>44462</v>
      </c>
      <c r="I295" s="6">
        <f>IFERROR(__xludf.DUMMYFUNCTION("""COMPUTED_VALUE"""),0.8916087962962963)</f>
        <v>0.8916087963</v>
      </c>
    </row>
    <row r="296">
      <c r="A296" s="2">
        <v>5.36</v>
      </c>
      <c r="B296" s="2">
        <v>229.2</v>
      </c>
      <c r="C296" s="2">
        <v>805.1</v>
      </c>
      <c r="D296" s="2">
        <v>5.33</v>
      </c>
      <c r="E296" s="2">
        <v>0.66</v>
      </c>
      <c r="F296" s="2">
        <v>50.0</v>
      </c>
      <c r="G296" s="3">
        <v>44462.891715474536</v>
      </c>
      <c r="H296" s="5">
        <f>IFERROR(__xludf.DUMMYFUNCTION("SPLIT(G296,"","")"),44462.0)</f>
        <v>44462</v>
      </c>
      <c r="I296" s="6">
        <f>IFERROR(__xludf.DUMMYFUNCTION("""COMPUTED_VALUE"""),0.891712962962963)</f>
        <v>0.891712963</v>
      </c>
    </row>
    <row r="297">
      <c r="A297" s="2">
        <v>5.35</v>
      </c>
      <c r="B297" s="2">
        <v>229.1</v>
      </c>
      <c r="C297" s="2">
        <v>805.1</v>
      </c>
      <c r="D297" s="2">
        <v>5.33</v>
      </c>
      <c r="E297" s="2">
        <v>0.66</v>
      </c>
      <c r="F297" s="2">
        <v>50.0</v>
      </c>
      <c r="G297" s="3">
        <v>44462.89181877315</v>
      </c>
      <c r="H297" s="5">
        <f>IFERROR(__xludf.DUMMYFUNCTION("SPLIT(G297,"","")"),44462.0)</f>
        <v>44462</v>
      </c>
      <c r="I297" s="6">
        <f>IFERROR(__xludf.DUMMYFUNCTION("""COMPUTED_VALUE"""),0.8918171296296297)</f>
        <v>0.8918171296</v>
      </c>
    </row>
    <row r="298">
      <c r="A298" s="2">
        <v>5.35</v>
      </c>
      <c r="B298" s="2">
        <v>229.1</v>
      </c>
      <c r="C298" s="2">
        <v>805.2</v>
      </c>
      <c r="D298" s="2">
        <v>5.34</v>
      </c>
      <c r="E298" s="2">
        <v>0.66</v>
      </c>
      <c r="F298" s="2">
        <v>50.0</v>
      </c>
      <c r="G298" s="3">
        <v>44462.891927523146</v>
      </c>
      <c r="H298" s="5">
        <f>IFERROR(__xludf.DUMMYFUNCTION("SPLIT(G298,"","")"),44462.0)</f>
        <v>44462</v>
      </c>
      <c r="I298" s="6">
        <f>IFERROR(__xludf.DUMMYFUNCTION("""COMPUTED_VALUE"""),0.8919328703703704)</f>
        <v>0.8919328704</v>
      </c>
    </row>
    <row r="299">
      <c r="A299" s="2">
        <v>5.35</v>
      </c>
      <c r="B299" s="2">
        <v>229.1</v>
      </c>
      <c r="C299" s="2">
        <v>805.2</v>
      </c>
      <c r="D299" s="2">
        <v>5.34</v>
      </c>
      <c r="E299" s="2">
        <v>0.66</v>
      </c>
      <c r="F299" s="2">
        <v>49.9</v>
      </c>
      <c r="G299" s="3">
        <v>44462.89203377315</v>
      </c>
      <c r="H299" s="5">
        <f>IFERROR(__xludf.DUMMYFUNCTION("SPLIT(G299,"","")"),44462.0)</f>
        <v>44462</v>
      </c>
      <c r="I299" s="6">
        <f>IFERROR(__xludf.DUMMYFUNCTION("""COMPUTED_VALUE"""),0.8920370370370371)</f>
        <v>0.892037037</v>
      </c>
    </row>
    <row r="300">
      <c r="A300" s="2">
        <v>5.35</v>
      </c>
      <c r="B300" s="2">
        <v>228.9</v>
      </c>
      <c r="C300" s="2">
        <v>805.2</v>
      </c>
      <c r="D300" s="2">
        <v>5.34</v>
      </c>
      <c r="E300" s="2">
        <v>0.66</v>
      </c>
      <c r="F300" s="2">
        <v>50.0</v>
      </c>
      <c r="G300" s="3">
        <v>44462.89213709491</v>
      </c>
      <c r="H300" s="5">
        <f>IFERROR(__xludf.DUMMYFUNCTION("SPLIT(G300,"","")"),44462.0)</f>
        <v>44462</v>
      </c>
      <c r="I300" s="6">
        <f>IFERROR(__xludf.DUMMYFUNCTION("""COMPUTED_VALUE"""),0.8921412037037038)</f>
        <v>0.8921412037</v>
      </c>
    </row>
    <row r="301">
      <c r="A301" s="2">
        <v>5.38</v>
      </c>
      <c r="B301" s="2">
        <v>228.7</v>
      </c>
      <c r="C301" s="2">
        <v>805.3</v>
      </c>
      <c r="D301" s="2">
        <v>5.34</v>
      </c>
      <c r="E301" s="2">
        <v>0.65</v>
      </c>
      <c r="F301" s="2">
        <v>50.0</v>
      </c>
      <c r="G301" s="3">
        <v>44462.89224206019</v>
      </c>
      <c r="H301" s="5">
        <f>IFERROR(__xludf.DUMMYFUNCTION("SPLIT(G301,"","")"),44462.0)</f>
        <v>44462</v>
      </c>
      <c r="I301" s="6">
        <f>IFERROR(__xludf.DUMMYFUNCTION("""COMPUTED_VALUE"""),0.8922453703703703)</f>
        <v>0.8922453704</v>
      </c>
    </row>
    <row r="302">
      <c r="A302" s="2">
        <v>5.38</v>
      </c>
      <c r="B302" s="2">
        <v>228.7</v>
      </c>
      <c r="C302" s="2">
        <v>805.5</v>
      </c>
      <c r="D302" s="2">
        <v>5.34</v>
      </c>
      <c r="E302" s="2">
        <v>0.65</v>
      </c>
      <c r="F302" s="2">
        <v>50.0</v>
      </c>
      <c r="G302" s="3">
        <v>44462.89235246528</v>
      </c>
      <c r="H302" s="5">
        <f>IFERROR(__xludf.DUMMYFUNCTION("SPLIT(G302,"","")"),44462.0)</f>
        <v>44462</v>
      </c>
      <c r="I302" s="6">
        <f>IFERROR(__xludf.DUMMYFUNCTION("""COMPUTED_VALUE"""),0.892349537037037)</f>
        <v>0.892349537</v>
      </c>
    </row>
    <row r="303">
      <c r="A303" s="2">
        <v>5.38</v>
      </c>
      <c r="B303" s="2">
        <v>228.7</v>
      </c>
      <c r="C303" s="2">
        <v>805.5</v>
      </c>
      <c r="D303" s="2">
        <v>5.34</v>
      </c>
      <c r="E303" s="2">
        <v>0.65</v>
      </c>
      <c r="F303" s="2">
        <v>50.0</v>
      </c>
      <c r="G303" s="3">
        <v>44462.89245526621</v>
      </c>
      <c r="H303" s="5">
        <f>IFERROR(__xludf.DUMMYFUNCTION("SPLIT(G303,"","")"),44462.0)</f>
        <v>44462</v>
      </c>
      <c r="I303" s="6">
        <f>IFERROR(__xludf.DUMMYFUNCTION("""COMPUTED_VALUE"""),0.8924537037037037)</f>
        <v>0.8924537037</v>
      </c>
    </row>
    <row r="304">
      <c r="A304" s="2">
        <v>5.38</v>
      </c>
      <c r="B304" s="2">
        <v>228.7</v>
      </c>
      <c r="C304" s="2">
        <v>805.7</v>
      </c>
      <c r="D304" s="2">
        <v>5.35</v>
      </c>
      <c r="E304" s="2">
        <v>0.65</v>
      </c>
      <c r="F304" s="2">
        <v>50.0</v>
      </c>
      <c r="G304" s="3">
        <v>44462.89255981482</v>
      </c>
      <c r="H304" s="5">
        <f>IFERROR(__xludf.DUMMYFUNCTION("SPLIT(G304,"","")"),44462.0)</f>
        <v>44462</v>
      </c>
      <c r="I304" s="6">
        <f>IFERROR(__xludf.DUMMYFUNCTION("""COMPUTED_VALUE"""),0.8925578703703704)</f>
        <v>0.8925578704</v>
      </c>
    </row>
    <row r="305">
      <c r="A305" s="2">
        <v>5.38</v>
      </c>
      <c r="B305" s="2">
        <v>228.7</v>
      </c>
      <c r="C305" s="2">
        <v>805.8</v>
      </c>
      <c r="D305" s="2">
        <v>5.35</v>
      </c>
      <c r="E305" s="2">
        <v>0.65</v>
      </c>
      <c r="F305" s="2">
        <v>50.0</v>
      </c>
      <c r="G305" s="3">
        <v>44462.89265956018</v>
      </c>
      <c r="H305" s="5">
        <f>IFERROR(__xludf.DUMMYFUNCTION("SPLIT(G305,"","")"),44462.0)</f>
        <v>44462</v>
      </c>
      <c r="I305" s="6">
        <f>IFERROR(__xludf.DUMMYFUNCTION("""COMPUTED_VALUE"""),0.8926620370370371)</f>
        <v>0.892662037</v>
      </c>
    </row>
    <row r="306">
      <c r="A306" s="2">
        <v>5.38</v>
      </c>
      <c r="B306" s="2">
        <v>228.7</v>
      </c>
      <c r="C306" s="2">
        <v>805.8</v>
      </c>
      <c r="D306" s="2">
        <v>5.35</v>
      </c>
      <c r="E306" s="2">
        <v>0.65</v>
      </c>
      <c r="F306" s="2">
        <v>50.0</v>
      </c>
      <c r="G306" s="3">
        <v>44462.89276479167</v>
      </c>
      <c r="H306" s="5">
        <f>IFERROR(__xludf.DUMMYFUNCTION("SPLIT(G306,"","")"),44462.0)</f>
        <v>44462</v>
      </c>
      <c r="I306" s="6">
        <f>IFERROR(__xludf.DUMMYFUNCTION("""COMPUTED_VALUE"""),0.8927662037037037)</f>
        <v>0.8927662037</v>
      </c>
    </row>
    <row r="307">
      <c r="A307" s="2">
        <v>5.38</v>
      </c>
      <c r="B307" s="2">
        <v>228.7</v>
      </c>
      <c r="C307" s="2">
        <v>806.1</v>
      </c>
      <c r="D307" s="2">
        <v>5.35</v>
      </c>
      <c r="E307" s="2">
        <v>0.65</v>
      </c>
      <c r="F307" s="2">
        <v>50.0</v>
      </c>
      <c r="G307" s="3">
        <v>44462.892867268514</v>
      </c>
      <c r="H307" s="5">
        <f>IFERROR(__xludf.DUMMYFUNCTION("SPLIT(G307,"","")"),44462.0)</f>
        <v>44462</v>
      </c>
      <c r="I307" s="6">
        <f>IFERROR(__xludf.DUMMYFUNCTION("""COMPUTED_VALUE"""),0.8928703703703704)</f>
        <v>0.8928703704</v>
      </c>
    </row>
    <row r="308">
      <c r="A308" s="2">
        <v>5.39</v>
      </c>
      <c r="B308" s="2">
        <v>228.4</v>
      </c>
      <c r="C308" s="2">
        <v>806.1</v>
      </c>
      <c r="D308" s="2">
        <v>5.36</v>
      </c>
      <c r="E308" s="2">
        <v>0.66</v>
      </c>
      <c r="F308" s="2">
        <v>50.0</v>
      </c>
      <c r="G308" s="3">
        <v>44462.89296578703</v>
      </c>
      <c r="H308" s="5">
        <f>IFERROR(__xludf.DUMMYFUNCTION("SPLIT(G308,"","")"),44462.0)</f>
        <v>44462</v>
      </c>
      <c r="I308" s="6">
        <f>IFERROR(__xludf.DUMMYFUNCTION("""COMPUTED_VALUE"""),0.892962962962963)</f>
        <v>0.892962963</v>
      </c>
    </row>
    <row r="309">
      <c r="A309" s="2">
        <v>5.39</v>
      </c>
      <c r="B309" s="2">
        <v>228.5</v>
      </c>
      <c r="C309" s="2">
        <v>806.1</v>
      </c>
      <c r="D309" s="2">
        <v>5.36</v>
      </c>
      <c r="E309" s="2">
        <v>0.65</v>
      </c>
      <c r="F309" s="2">
        <v>50.0</v>
      </c>
      <c r="G309" s="3">
        <v>44462.89307060185</v>
      </c>
      <c r="H309" s="5">
        <f>IFERROR(__xludf.DUMMYFUNCTION("SPLIT(G309,"","")"),44462.0)</f>
        <v>44462</v>
      </c>
      <c r="I309" s="6">
        <f>IFERROR(__xludf.DUMMYFUNCTION("""COMPUTED_VALUE"""),0.8930671296296296)</f>
        <v>0.8930671296</v>
      </c>
    </row>
    <row r="310">
      <c r="A310" s="2">
        <v>5.38</v>
      </c>
      <c r="B310" s="2">
        <v>228.4</v>
      </c>
      <c r="C310" s="2">
        <v>806.2</v>
      </c>
      <c r="D310" s="2">
        <v>5.36</v>
      </c>
      <c r="E310" s="2">
        <v>0.66</v>
      </c>
      <c r="F310" s="2">
        <v>50.0</v>
      </c>
      <c r="G310" s="3">
        <v>44462.89317708333</v>
      </c>
      <c r="H310" s="5">
        <f>IFERROR(__xludf.DUMMYFUNCTION("SPLIT(G310,"","")"),44462.0)</f>
        <v>44462</v>
      </c>
      <c r="I310" s="6">
        <f>IFERROR(__xludf.DUMMYFUNCTION("""COMPUTED_VALUE"""),0.8931828703703704)</f>
        <v>0.8931828704</v>
      </c>
    </row>
    <row r="311">
      <c r="A311" s="2">
        <v>5.39</v>
      </c>
      <c r="B311" s="2">
        <v>228.4</v>
      </c>
      <c r="C311" s="2">
        <v>806.2</v>
      </c>
      <c r="D311" s="2">
        <v>5.36</v>
      </c>
      <c r="E311" s="2">
        <v>0.66</v>
      </c>
      <c r="F311" s="2">
        <v>50.0</v>
      </c>
      <c r="G311" s="3">
        <v>44462.89328038195</v>
      </c>
      <c r="H311" s="5">
        <f>IFERROR(__xludf.DUMMYFUNCTION("SPLIT(G311,"","")"),44462.0)</f>
        <v>44462</v>
      </c>
      <c r="I311" s="6">
        <f>IFERROR(__xludf.DUMMYFUNCTION("""COMPUTED_VALUE"""),0.893275462962963)</f>
        <v>0.893275463</v>
      </c>
    </row>
    <row r="312">
      <c r="A312" s="2">
        <v>5.38</v>
      </c>
      <c r="B312" s="2">
        <v>228.5</v>
      </c>
      <c r="C312" s="2">
        <v>806.3</v>
      </c>
      <c r="D312" s="2">
        <v>5.36</v>
      </c>
      <c r="E312" s="2">
        <v>0.66</v>
      </c>
      <c r="F312" s="2">
        <v>50.0</v>
      </c>
      <c r="G312" s="3">
        <v>44462.89338354167</v>
      </c>
      <c r="H312" s="5">
        <f>IFERROR(__xludf.DUMMYFUNCTION("SPLIT(G312,"","")"),44462.0)</f>
        <v>44462</v>
      </c>
      <c r="I312" s="6">
        <f>IFERROR(__xludf.DUMMYFUNCTION("""COMPUTED_VALUE"""),0.8933796296296296)</f>
        <v>0.8933796296</v>
      </c>
    </row>
    <row r="313">
      <c r="A313" s="2">
        <v>5.38</v>
      </c>
      <c r="B313" s="2">
        <v>228.5</v>
      </c>
      <c r="C313" s="2">
        <v>806.4</v>
      </c>
      <c r="D313" s="2">
        <v>5.36</v>
      </c>
      <c r="E313" s="2">
        <v>0.66</v>
      </c>
      <c r="F313" s="2">
        <v>50.0</v>
      </c>
      <c r="G313" s="3">
        <v>44462.89349108796</v>
      </c>
      <c r="H313" s="5">
        <f>IFERROR(__xludf.DUMMYFUNCTION("SPLIT(G313,"","")"),44462.0)</f>
        <v>44462</v>
      </c>
      <c r="I313" s="6">
        <f>IFERROR(__xludf.DUMMYFUNCTION("""COMPUTED_VALUE"""),0.8934953703703704)</f>
        <v>0.8934953704</v>
      </c>
    </row>
    <row r="314">
      <c r="A314" s="2">
        <v>5.38</v>
      </c>
      <c r="B314" s="2">
        <v>228.5</v>
      </c>
      <c r="C314" s="2">
        <v>806.6</v>
      </c>
      <c r="D314" s="2">
        <v>5.37</v>
      </c>
      <c r="E314" s="2">
        <v>0.66</v>
      </c>
      <c r="F314" s="2">
        <v>50.0</v>
      </c>
      <c r="G314" s="3">
        <v>44462.89359556713</v>
      </c>
      <c r="H314" s="5">
        <f>IFERROR(__xludf.DUMMYFUNCTION("SPLIT(G314,"","")"),44462.0)</f>
        <v>44462</v>
      </c>
      <c r="I314" s="6">
        <f>IFERROR(__xludf.DUMMYFUNCTION("""COMPUTED_VALUE"""),0.893599537037037)</f>
        <v>0.893599537</v>
      </c>
    </row>
    <row r="315">
      <c r="A315" s="2">
        <v>5.39</v>
      </c>
      <c r="B315" s="2">
        <v>228.4</v>
      </c>
      <c r="C315" s="2">
        <v>806.7</v>
      </c>
      <c r="D315" s="2">
        <v>5.37</v>
      </c>
      <c r="E315" s="2">
        <v>0.66</v>
      </c>
      <c r="F315" s="2">
        <v>50.0</v>
      </c>
      <c r="G315" s="3">
        <v>44462.89370313658</v>
      </c>
      <c r="H315" s="5">
        <f>IFERROR(__xludf.DUMMYFUNCTION("SPLIT(G315,"","")"),44462.0)</f>
        <v>44462</v>
      </c>
      <c r="I315" s="6">
        <f>IFERROR(__xludf.DUMMYFUNCTION("""COMPUTED_VALUE"""),0.8937037037037037)</f>
        <v>0.8937037037</v>
      </c>
    </row>
    <row r="316">
      <c r="A316" s="2">
        <v>5.39</v>
      </c>
      <c r="B316" s="2">
        <v>228.3</v>
      </c>
      <c r="C316" s="2">
        <v>806.8</v>
      </c>
      <c r="D316" s="2">
        <v>5.37</v>
      </c>
      <c r="E316" s="2">
        <v>0.66</v>
      </c>
      <c r="F316" s="2">
        <v>50.0</v>
      </c>
      <c r="G316" s="3">
        <v>44462.89380809027</v>
      </c>
      <c r="H316" s="5">
        <f>IFERROR(__xludf.DUMMYFUNCTION("SPLIT(G316,"","")"),44462.0)</f>
        <v>44462</v>
      </c>
      <c r="I316" s="6">
        <f>IFERROR(__xludf.DUMMYFUNCTION("""COMPUTED_VALUE"""),0.8938078703703703)</f>
        <v>0.8938078704</v>
      </c>
    </row>
    <row r="317">
      <c r="A317" s="2">
        <v>5.4</v>
      </c>
      <c r="B317" s="2">
        <v>228.4</v>
      </c>
      <c r="C317" s="2">
        <v>807.0</v>
      </c>
      <c r="D317" s="2">
        <v>5.37</v>
      </c>
      <c r="E317" s="2">
        <v>0.65</v>
      </c>
      <c r="F317" s="2">
        <v>50.0</v>
      </c>
      <c r="G317" s="3">
        <v>44462.89391115741</v>
      </c>
      <c r="H317" s="5">
        <f>IFERROR(__xludf.DUMMYFUNCTION("SPLIT(G317,"","")"),44462.0)</f>
        <v>44462</v>
      </c>
      <c r="I317" s="6">
        <f>IFERROR(__xludf.DUMMYFUNCTION("""COMPUTED_VALUE"""),0.893912037037037)</f>
        <v>0.893912037</v>
      </c>
    </row>
    <row r="318">
      <c r="A318" s="2">
        <v>5.39</v>
      </c>
      <c r="B318" s="2">
        <v>228.4</v>
      </c>
      <c r="C318" s="2">
        <v>807.0</v>
      </c>
      <c r="D318" s="2">
        <v>5.38</v>
      </c>
      <c r="E318" s="2">
        <v>0.66</v>
      </c>
      <c r="F318" s="2">
        <v>50.0</v>
      </c>
      <c r="G318" s="3">
        <v>44462.89401393518</v>
      </c>
      <c r="H318" s="5">
        <f>IFERROR(__xludf.DUMMYFUNCTION("SPLIT(G318,"","")"),44462.0)</f>
        <v>44462</v>
      </c>
      <c r="I318" s="6">
        <f>IFERROR(__xludf.DUMMYFUNCTION("""COMPUTED_VALUE"""),0.8940162037037037)</f>
        <v>0.8940162037</v>
      </c>
    </row>
    <row r="319">
      <c r="A319" s="2">
        <v>5.39</v>
      </c>
      <c r="B319" s="2">
        <v>228.5</v>
      </c>
      <c r="C319" s="2">
        <v>807.1</v>
      </c>
      <c r="D319" s="2">
        <v>5.38</v>
      </c>
      <c r="E319" s="2">
        <v>0.65</v>
      </c>
      <c r="F319" s="2">
        <v>50.0</v>
      </c>
      <c r="G319" s="3">
        <v>44462.89411368055</v>
      </c>
      <c r="H319" s="5">
        <f>IFERROR(__xludf.DUMMYFUNCTION("SPLIT(G319,"","")"),44462.0)</f>
        <v>44462</v>
      </c>
      <c r="I319" s="6">
        <f>IFERROR(__xludf.DUMMYFUNCTION("""COMPUTED_VALUE"""),0.8941087962962962)</f>
        <v>0.8941087963</v>
      </c>
    </row>
    <row r="320">
      <c r="A320" s="2">
        <v>5.39</v>
      </c>
      <c r="B320" s="2">
        <v>228.5</v>
      </c>
      <c r="C320" s="2">
        <v>807.1</v>
      </c>
      <c r="D320" s="2">
        <v>5.38</v>
      </c>
      <c r="E320" s="2">
        <v>0.66</v>
      </c>
      <c r="F320" s="2">
        <v>50.0</v>
      </c>
      <c r="G320" s="3">
        <v>44462.894213402775</v>
      </c>
      <c r="H320" s="5">
        <f>IFERROR(__xludf.DUMMYFUNCTION("SPLIT(G320,"","")"),44462.0)</f>
        <v>44462</v>
      </c>
      <c r="I320" s="6">
        <f>IFERROR(__xludf.DUMMYFUNCTION("""COMPUTED_VALUE"""),0.8942129629629629)</f>
        <v>0.894212963</v>
      </c>
    </row>
    <row r="321">
      <c r="A321" s="2">
        <v>5.38</v>
      </c>
      <c r="B321" s="2">
        <v>228.6</v>
      </c>
      <c r="C321" s="2">
        <v>807.3</v>
      </c>
      <c r="D321" s="2">
        <v>5.38</v>
      </c>
      <c r="E321" s="2">
        <v>0.66</v>
      </c>
      <c r="F321" s="2">
        <v>50.0</v>
      </c>
      <c r="G321" s="3">
        <v>44462.89431304398</v>
      </c>
      <c r="H321" s="5">
        <f>IFERROR(__xludf.DUMMYFUNCTION("SPLIT(G321,"","")"),44462.0)</f>
        <v>44462</v>
      </c>
      <c r="I321" s="6">
        <f>IFERROR(__xludf.DUMMYFUNCTION("""COMPUTED_VALUE"""),0.8943171296296296)</f>
        <v>0.8943171296</v>
      </c>
    </row>
    <row r="322">
      <c r="A322" s="2">
        <v>5.38</v>
      </c>
      <c r="B322" s="2">
        <v>228.5</v>
      </c>
      <c r="C322" s="2">
        <v>807.3</v>
      </c>
      <c r="D322" s="2">
        <v>5.38</v>
      </c>
      <c r="E322" s="2">
        <v>0.66</v>
      </c>
      <c r="F322" s="2">
        <v>50.0</v>
      </c>
      <c r="G322" s="3">
        <v>44462.89441857639</v>
      </c>
      <c r="H322" s="5">
        <f>IFERROR(__xludf.DUMMYFUNCTION("SPLIT(G322,"","")"),44462.0)</f>
        <v>44462</v>
      </c>
      <c r="I322" s="6">
        <f>IFERROR(__xludf.DUMMYFUNCTION("""COMPUTED_VALUE"""),0.8944212962962963)</f>
        <v>0.8944212963</v>
      </c>
    </row>
    <row r="323">
      <c r="A323" s="2">
        <v>5.38</v>
      </c>
      <c r="B323" s="2">
        <v>228.7</v>
      </c>
      <c r="C323" s="2">
        <v>807.4</v>
      </c>
      <c r="D323" s="2">
        <v>5.39</v>
      </c>
      <c r="E323" s="2">
        <v>0.66</v>
      </c>
      <c r="F323" s="2">
        <v>50.0</v>
      </c>
      <c r="G323" s="3">
        <v>44462.89453630787</v>
      </c>
      <c r="H323" s="5">
        <f>IFERROR(__xludf.DUMMYFUNCTION("SPLIT(G323,"","")"),44462.0)</f>
        <v>44462</v>
      </c>
      <c r="I323" s="6">
        <f>IFERROR(__xludf.DUMMYFUNCTION("""COMPUTED_VALUE"""),0.894537037037037)</f>
        <v>0.894537037</v>
      </c>
    </row>
    <row r="324">
      <c r="A324" s="2">
        <v>5.39</v>
      </c>
      <c r="B324" s="2">
        <v>228.6</v>
      </c>
      <c r="C324" s="2">
        <v>807.4</v>
      </c>
      <c r="D324" s="2">
        <v>5.39</v>
      </c>
      <c r="E324" s="2">
        <v>0.66</v>
      </c>
      <c r="F324" s="2">
        <v>50.0</v>
      </c>
      <c r="G324" s="3">
        <v>44462.89463967593</v>
      </c>
      <c r="H324" s="5">
        <f>IFERROR(__xludf.DUMMYFUNCTION("SPLIT(G324,"","")"),44462.0)</f>
        <v>44462</v>
      </c>
      <c r="I324" s="6">
        <f>IFERROR(__xludf.DUMMYFUNCTION("""COMPUTED_VALUE"""),0.8946412037037037)</f>
        <v>0.8946412037</v>
      </c>
    </row>
    <row r="325">
      <c r="A325" s="2">
        <v>5.38</v>
      </c>
      <c r="B325" s="2">
        <v>228.8</v>
      </c>
      <c r="C325" s="2">
        <v>807.7</v>
      </c>
      <c r="D325" s="2">
        <v>5.39</v>
      </c>
      <c r="E325" s="2">
        <v>0.66</v>
      </c>
      <c r="F325" s="2">
        <v>50.0</v>
      </c>
      <c r="G325" s="3">
        <v>44462.89474231482</v>
      </c>
      <c r="H325" s="5">
        <f>IFERROR(__xludf.DUMMYFUNCTION("SPLIT(G325,"","")"),44462.0)</f>
        <v>44462</v>
      </c>
      <c r="I325" s="6">
        <f>IFERROR(__xludf.DUMMYFUNCTION("""COMPUTED_VALUE"""),0.8947453703703704)</f>
        <v>0.8947453704</v>
      </c>
    </row>
    <row r="326">
      <c r="A326" s="2">
        <v>5.37</v>
      </c>
      <c r="B326" s="2">
        <v>228.8</v>
      </c>
      <c r="C326" s="2">
        <v>807.6</v>
      </c>
      <c r="D326" s="2">
        <v>5.39</v>
      </c>
      <c r="E326" s="2">
        <v>0.66</v>
      </c>
      <c r="F326" s="2">
        <v>50.0</v>
      </c>
      <c r="G326" s="3">
        <v>44462.894847372685</v>
      </c>
      <c r="H326" s="5">
        <f>IFERROR(__xludf.DUMMYFUNCTION("SPLIT(G326,"","")"),44462.0)</f>
        <v>44462</v>
      </c>
      <c r="I326" s="6">
        <f>IFERROR(__xludf.DUMMYFUNCTION("""COMPUTED_VALUE"""),0.8948495370370371)</f>
        <v>0.894849537</v>
      </c>
    </row>
    <row r="327">
      <c r="A327" s="2">
        <v>5.38</v>
      </c>
      <c r="B327" s="2">
        <v>228.8</v>
      </c>
      <c r="C327" s="2">
        <v>807.7</v>
      </c>
      <c r="D327" s="2">
        <v>5.39</v>
      </c>
      <c r="E327" s="2">
        <v>0.66</v>
      </c>
      <c r="F327" s="2">
        <v>50.0</v>
      </c>
      <c r="G327" s="3">
        <v>44462.89495796296</v>
      </c>
      <c r="H327" s="5">
        <f>IFERROR(__xludf.DUMMYFUNCTION("SPLIT(G327,"","")"),44462.0)</f>
        <v>44462</v>
      </c>
      <c r="I327" s="6">
        <f>IFERROR(__xludf.DUMMYFUNCTION("""COMPUTED_VALUE"""),0.8949537037037038)</f>
        <v>0.8949537037</v>
      </c>
    </row>
    <row r="328">
      <c r="A328" s="2">
        <v>5.38</v>
      </c>
      <c r="B328" s="2">
        <v>228.7</v>
      </c>
      <c r="C328" s="2">
        <v>807.8</v>
      </c>
      <c r="D328" s="2">
        <v>5.4</v>
      </c>
      <c r="E328" s="2">
        <v>0.66</v>
      </c>
      <c r="F328" s="2">
        <v>50.0</v>
      </c>
      <c r="G328" s="3">
        <v>44462.89506688657</v>
      </c>
      <c r="H328" s="5">
        <f>IFERROR(__xludf.DUMMYFUNCTION("SPLIT(G328,"","")"),44462.0)</f>
        <v>44462</v>
      </c>
      <c r="I328" s="6">
        <f>IFERROR(__xludf.DUMMYFUNCTION("""COMPUTED_VALUE"""),0.8950694444444445)</f>
        <v>0.8950694444</v>
      </c>
    </row>
    <row r="329">
      <c r="A329" s="2">
        <v>5.37</v>
      </c>
      <c r="B329" s="2">
        <v>228.9</v>
      </c>
      <c r="C329" s="2">
        <v>807.9</v>
      </c>
      <c r="D329" s="2">
        <v>5.4</v>
      </c>
      <c r="E329" s="2">
        <v>0.66</v>
      </c>
      <c r="F329" s="2">
        <v>50.0</v>
      </c>
      <c r="G329" s="3">
        <v>44462.895172743054</v>
      </c>
      <c r="H329" s="5">
        <f>IFERROR(__xludf.DUMMYFUNCTION("SPLIT(G329,"","")"),44462.0)</f>
        <v>44462</v>
      </c>
      <c r="I329" s="6">
        <f>IFERROR(__xludf.DUMMYFUNCTION("""COMPUTED_VALUE"""),0.8951736111111112)</f>
        <v>0.8951736111</v>
      </c>
    </row>
    <row r="330">
      <c r="A330" s="2">
        <v>5.37</v>
      </c>
      <c r="B330" s="2">
        <v>228.9</v>
      </c>
      <c r="C330" s="2">
        <v>808.0</v>
      </c>
      <c r="D330" s="2">
        <v>5.4</v>
      </c>
      <c r="E330" s="2">
        <v>0.66</v>
      </c>
      <c r="F330" s="2">
        <v>50.0</v>
      </c>
      <c r="G330" s="3">
        <v>44462.89527716435</v>
      </c>
      <c r="H330" s="5">
        <f>IFERROR(__xludf.DUMMYFUNCTION("SPLIT(G330,"","")"),44462.0)</f>
        <v>44462</v>
      </c>
      <c r="I330" s="6">
        <f>IFERROR(__xludf.DUMMYFUNCTION("""COMPUTED_VALUE"""),0.8952777777777777)</f>
        <v>0.8952777778</v>
      </c>
    </row>
    <row r="331">
      <c r="A331" s="2">
        <v>5.37</v>
      </c>
      <c r="B331" s="2">
        <v>229.0</v>
      </c>
      <c r="C331" s="2">
        <v>808.0</v>
      </c>
      <c r="D331" s="2">
        <v>5.4</v>
      </c>
      <c r="E331" s="2">
        <v>0.66</v>
      </c>
      <c r="F331" s="2">
        <v>50.0</v>
      </c>
      <c r="G331" s="3">
        <v>44462.895379548616</v>
      </c>
      <c r="H331" s="5">
        <f>IFERROR(__xludf.DUMMYFUNCTION("SPLIT(G331,"","")"),44462.0)</f>
        <v>44462</v>
      </c>
      <c r="I331" s="6">
        <f>IFERROR(__xludf.DUMMYFUNCTION("""COMPUTED_VALUE"""),0.8953819444444444)</f>
        <v>0.8953819444</v>
      </c>
    </row>
    <row r="332">
      <c r="A332" s="2">
        <v>5.37</v>
      </c>
      <c r="B332" s="2">
        <v>229.1</v>
      </c>
      <c r="C332" s="2">
        <v>808.1</v>
      </c>
      <c r="D332" s="2">
        <v>5.4</v>
      </c>
      <c r="E332" s="2">
        <v>0.66</v>
      </c>
      <c r="F332" s="2">
        <v>50.0</v>
      </c>
      <c r="G332" s="3">
        <v>44462.89548049768</v>
      </c>
      <c r="H332" s="5">
        <f>IFERROR(__xludf.DUMMYFUNCTION("SPLIT(G332,"","")"),44462.0)</f>
        <v>44462</v>
      </c>
      <c r="I332" s="6">
        <f>IFERROR(__xludf.DUMMYFUNCTION("""COMPUTED_VALUE"""),0.8954861111111111)</f>
        <v>0.8954861111</v>
      </c>
    </row>
    <row r="333">
      <c r="A333" s="2">
        <v>5.36</v>
      </c>
      <c r="B333" s="2">
        <v>229.1</v>
      </c>
      <c r="C333" s="2">
        <v>808.4</v>
      </c>
      <c r="D333" s="2">
        <v>5.41</v>
      </c>
      <c r="E333" s="2">
        <v>0.66</v>
      </c>
      <c r="F333" s="2">
        <v>50.0</v>
      </c>
      <c r="G333" s="3">
        <v>44462.89558373843</v>
      </c>
      <c r="H333" s="5">
        <f>IFERROR(__xludf.DUMMYFUNCTION("SPLIT(G333,"","")"),44462.0)</f>
        <v>44462</v>
      </c>
      <c r="I333" s="6">
        <f>IFERROR(__xludf.DUMMYFUNCTION("""COMPUTED_VALUE"""),0.8955787037037037)</f>
        <v>0.8955787037</v>
      </c>
    </row>
    <row r="334">
      <c r="A334" s="2">
        <v>5.37</v>
      </c>
      <c r="B334" s="2">
        <v>229.1</v>
      </c>
      <c r="C334" s="2">
        <v>808.3</v>
      </c>
      <c r="D334" s="2">
        <v>5.41</v>
      </c>
      <c r="E334" s="2">
        <v>0.66</v>
      </c>
      <c r="F334" s="2">
        <v>50.0</v>
      </c>
      <c r="G334" s="3">
        <v>44462.895688599536</v>
      </c>
      <c r="H334" s="5">
        <f>IFERROR(__xludf.DUMMYFUNCTION("SPLIT(G334,"","")"),44462.0)</f>
        <v>44462</v>
      </c>
      <c r="I334" s="6">
        <f>IFERROR(__xludf.DUMMYFUNCTION("""COMPUTED_VALUE"""),0.8956828703703704)</f>
        <v>0.8956828704</v>
      </c>
    </row>
    <row r="335">
      <c r="A335" s="2">
        <v>5.38</v>
      </c>
      <c r="B335" s="2">
        <v>229.0</v>
      </c>
      <c r="C335" s="2">
        <v>808.5</v>
      </c>
      <c r="D335" s="2">
        <v>5.41</v>
      </c>
      <c r="E335" s="2">
        <v>0.66</v>
      </c>
      <c r="F335" s="2">
        <v>50.0</v>
      </c>
      <c r="G335" s="3">
        <v>44462.89578894676</v>
      </c>
      <c r="H335" s="5">
        <f>IFERROR(__xludf.DUMMYFUNCTION("SPLIT(G335,"","")"),44462.0)</f>
        <v>44462</v>
      </c>
      <c r="I335" s="6">
        <f>IFERROR(__xludf.DUMMYFUNCTION("""COMPUTED_VALUE"""),0.895787037037037)</f>
        <v>0.895787037</v>
      </c>
    </row>
    <row r="336">
      <c r="A336" s="2">
        <v>5.37</v>
      </c>
      <c r="B336" s="2">
        <v>228.9</v>
      </c>
      <c r="C336" s="2">
        <v>808.4</v>
      </c>
      <c r="D336" s="2">
        <v>5.41</v>
      </c>
      <c r="E336" s="2">
        <v>0.66</v>
      </c>
      <c r="F336" s="2">
        <v>50.0</v>
      </c>
      <c r="G336" s="3">
        <v>44462.89589929398</v>
      </c>
      <c r="H336" s="5">
        <f>IFERROR(__xludf.DUMMYFUNCTION("SPLIT(G336,"","")"),44462.0)</f>
        <v>44462</v>
      </c>
      <c r="I336" s="6">
        <f>IFERROR(__xludf.DUMMYFUNCTION("""COMPUTED_VALUE"""),0.8959027777777778)</f>
        <v>0.8959027778</v>
      </c>
    </row>
    <row r="337">
      <c r="A337" s="2">
        <v>5.38</v>
      </c>
      <c r="B337" s="2">
        <v>228.9</v>
      </c>
      <c r="C337" s="2">
        <v>808.5</v>
      </c>
      <c r="D337" s="2">
        <v>5.41</v>
      </c>
      <c r="E337" s="2">
        <v>0.66</v>
      </c>
      <c r="F337" s="2">
        <v>50.0</v>
      </c>
      <c r="G337" s="3">
        <v>44462.8960047338</v>
      </c>
      <c r="H337" s="5">
        <f>IFERROR(__xludf.DUMMYFUNCTION("SPLIT(G337,"","")"),44462.0)</f>
        <v>44462</v>
      </c>
      <c r="I337" s="6">
        <f>IFERROR(__xludf.DUMMYFUNCTION("""COMPUTED_VALUE"""),0.8960069444444444)</f>
        <v>0.8960069444</v>
      </c>
    </row>
    <row r="338">
      <c r="A338" s="2">
        <v>5.38</v>
      </c>
      <c r="B338" s="2">
        <v>228.8</v>
      </c>
      <c r="C338" s="2">
        <v>808.7</v>
      </c>
      <c r="D338" s="2">
        <v>5.42</v>
      </c>
      <c r="E338" s="2">
        <v>0.66</v>
      </c>
      <c r="F338" s="2">
        <v>50.0</v>
      </c>
      <c r="G338" s="3">
        <v>44462.89611138889</v>
      </c>
      <c r="H338" s="5">
        <f>IFERROR(__xludf.DUMMYFUNCTION("SPLIT(G338,"","")"),44462.0)</f>
        <v>44462</v>
      </c>
      <c r="I338" s="6">
        <f>IFERROR(__xludf.DUMMYFUNCTION("""COMPUTED_VALUE"""),0.8961111111111111)</f>
        <v>0.8961111111</v>
      </c>
    </row>
    <row r="339">
      <c r="A339" s="2">
        <v>5.39</v>
      </c>
      <c r="B339" s="2">
        <v>228.8</v>
      </c>
      <c r="C339" s="2">
        <v>808.7</v>
      </c>
      <c r="D339" s="2">
        <v>5.42</v>
      </c>
      <c r="E339" s="2">
        <v>0.66</v>
      </c>
      <c r="F339" s="2">
        <v>49.9</v>
      </c>
      <c r="G339" s="3">
        <v>44462.896217013884</v>
      </c>
      <c r="H339" s="5">
        <f>IFERROR(__xludf.DUMMYFUNCTION("SPLIT(G339,"","")"),44462.0)</f>
        <v>44462</v>
      </c>
      <c r="I339" s="6">
        <f>IFERROR(__xludf.DUMMYFUNCTION("""COMPUTED_VALUE"""),0.8962152777777778)</f>
        <v>0.8962152778</v>
      </c>
    </row>
    <row r="340">
      <c r="A340" s="2">
        <v>5.37</v>
      </c>
      <c r="B340" s="2">
        <v>229.0</v>
      </c>
      <c r="C340" s="2">
        <v>808.8</v>
      </c>
      <c r="D340" s="2">
        <v>5.42</v>
      </c>
      <c r="E340" s="2">
        <v>0.66</v>
      </c>
      <c r="F340" s="2">
        <v>50.0</v>
      </c>
      <c r="G340" s="3">
        <v>44462.896322685185</v>
      </c>
      <c r="H340" s="5">
        <f>IFERROR(__xludf.DUMMYFUNCTION("SPLIT(G340,"","")"),44462.0)</f>
        <v>44462</v>
      </c>
      <c r="I340" s="6">
        <f>IFERROR(__xludf.DUMMYFUNCTION("""COMPUTED_VALUE"""),0.8963194444444444)</f>
        <v>0.8963194444</v>
      </c>
    </row>
    <row r="341">
      <c r="A341" s="2">
        <v>5.38</v>
      </c>
      <c r="B341" s="2">
        <v>229.1</v>
      </c>
      <c r="C341" s="2">
        <v>809.0</v>
      </c>
      <c r="D341" s="2">
        <v>5.42</v>
      </c>
      <c r="E341" s="2">
        <v>0.66</v>
      </c>
      <c r="F341" s="2">
        <v>50.0</v>
      </c>
      <c r="G341" s="3">
        <v>44462.89642546297</v>
      </c>
      <c r="H341" s="5">
        <f>IFERROR(__xludf.DUMMYFUNCTION("SPLIT(G341,"","")"),44462.0)</f>
        <v>44462</v>
      </c>
      <c r="I341" s="6">
        <f>IFERROR(__xludf.DUMMYFUNCTION("""COMPUTED_VALUE"""),0.8964236111111111)</f>
        <v>0.8964236111</v>
      </c>
    </row>
    <row r="342">
      <c r="A342" s="2">
        <v>5.37</v>
      </c>
      <c r="B342" s="2">
        <v>229.1</v>
      </c>
      <c r="C342" s="2">
        <v>809.0</v>
      </c>
      <c r="D342" s="2">
        <v>5.42</v>
      </c>
      <c r="E342" s="2">
        <v>0.66</v>
      </c>
      <c r="F342" s="2">
        <v>50.0</v>
      </c>
      <c r="G342" s="3">
        <v>44462.896527743054</v>
      </c>
      <c r="H342" s="5">
        <f>IFERROR(__xludf.DUMMYFUNCTION("SPLIT(G342,"","")"),44462.0)</f>
        <v>44462</v>
      </c>
      <c r="I342" s="6">
        <f>IFERROR(__xludf.DUMMYFUNCTION("""COMPUTED_VALUE"""),0.8965277777777778)</f>
        <v>0.8965277778</v>
      </c>
    </row>
    <row r="343">
      <c r="A343" s="2">
        <v>5.37</v>
      </c>
      <c r="B343" s="2">
        <v>229.2</v>
      </c>
      <c r="C343" s="2">
        <v>809.1</v>
      </c>
      <c r="D343" s="2">
        <v>5.43</v>
      </c>
      <c r="E343" s="2">
        <v>0.66</v>
      </c>
      <c r="F343" s="2">
        <v>50.0</v>
      </c>
      <c r="G343" s="3">
        <v>44462.8966287963</v>
      </c>
      <c r="H343" s="5">
        <f>IFERROR(__xludf.DUMMYFUNCTION("SPLIT(G343,"","")"),44462.0)</f>
        <v>44462</v>
      </c>
      <c r="I343" s="6">
        <f>IFERROR(__xludf.DUMMYFUNCTION("""COMPUTED_VALUE"""),0.8966319444444445)</f>
        <v>0.8966319444</v>
      </c>
    </row>
    <row r="344">
      <c r="A344" s="2">
        <v>5.38</v>
      </c>
      <c r="B344" s="2">
        <v>229.1</v>
      </c>
      <c r="C344" s="2">
        <v>809.3</v>
      </c>
      <c r="D344" s="2">
        <v>5.43</v>
      </c>
      <c r="E344" s="2">
        <v>0.66</v>
      </c>
      <c r="F344" s="2">
        <v>50.0</v>
      </c>
      <c r="G344" s="3">
        <v>44462.896729733795</v>
      </c>
      <c r="H344" s="5">
        <f>IFERROR(__xludf.DUMMYFUNCTION("SPLIT(G344,"","")"),44462.0)</f>
        <v>44462</v>
      </c>
      <c r="I344" s="6">
        <f>IFERROR(__xludf.DUMMYFUNCTION("""COMPUTED_VALUE"""),0.896724537037037)</f>
        <v>0.896724537</v>
      </c>
    </row>
    <row r="345">
      <c r="A345" s="2">
        <v>5.39</v>
      </c>
      <c r="B345" s="2">
        <v>229.0</v>
      </c>
      <c r="C345" s="2">
        <v>809.4</v>
      </c>
      <c r="D345" s="2">
        <v>5.43</v>
      </c>
      <c r="E345" s="2">
        <v>0.66</v>
      </c>
      <c r="F345" s="2">
        <v>50.0</v>
      </c>
      <c r="G345" s="3">
        <v>44462.89683564815</v>
      </c>
      <c r="H345" s="5">
        <f>IFERROR(__xludf.DUMMYFUNCTION("SPLIT(G345,"","")"),44462.0)</f>
        <v>44462</v>
      </c>
      <c r="I345" s="6">
        <f>IFERROR(__xludf.DUMMYFUNCTION("""COMPUTED_VALUE"""),0.8968402777777778)</f>
        <v>0.8968402778</v>
      </c>
    </row>
    <row r="346">
      <c r="A346" s="2">
        <v>5.38</v>
      </c>
      <c r="B346" s="2">
        <v>229.0</v>
      </c>
      <c r="C346" s="2">
        <v>809.4</v>
      </c>
      <c r="D346" s="2">
        <v>5.43</v>
      </c>
      <c r="E346" s="2">
        <v>0.66</v>
      </c>
      <c r="F346" s="2">
        <v>50.0</v>
      </c>
      <c r="G346" s="3">
        <v>44462.89694181713</v>
      </c>
      <c r="H346" s="5">
        <f>IFERROR(__xludf.DUMMYFUNCTION("SPLIT(G346,"","")"),44462.0)</f>
        <v>44462</v>
      </c>
      <c r="I346" s="6">
        <f>IFERROR(__xludf.DUMMYFUNCTION("""COMPUTED_VALUE"""),0.8969444444444444)</f>
        <v>0.8969444444</v>
      </c>
    </row>
    <row r="347">
      <c r="A347" s="2">
        <v>5.39</v>
      </c>
      <c r="B347" s="2">
        <v>229.0</v>
      </c>
      <c r="C347" s="2">
        <v>809.6</v>
      </c>
      <c r="D347" s="2">
        <v>5.43</v>
      </c>
      <c r="E347" s="2">
        <v>0.66</v>
      </c>
      <c r="F347" s="2">
        <v>50.0</v>
      </c>
      <c r="G347" s="3">
        <v>44462.897317083334</v>
      </c>
      <c r="H347" s="5">
        <f>IFERROR(__xludf.DUMMYFUNCTION("SPLIT(G347,"","")"),44462.0)</f>
        <v>44462</v>
      </c>
      <c r="I347" s="6">
        <f>IFERROR(__xludf.DUMMYFUNCTION("""COMPUTED_VALUE"""),0.8973148148148148)</f>
        <v>0.8973148148</v>
      </c>
    </row>
    <row r="348">
      <c r="A348" s="2">
        <v>5.39</v>
      </c>
      <c r="B348" s="2">
        <v>229.1</v>
      </c>
      <c r="C348" s="2">
        <v>810.0</v>
      </c>
      <c r="D348" s="2">
        <v>5.44</v>
      </c>
      <c r="E348" s="2">
        <v>0.66</v>
      </c>
      <c r="F348" s="2">
        <v>50.0</v>
      </c>
      <c r="G348" s="3">
        <v>44462.89751219907</v>
      </c>
      <c r="H348" s="5">
        <f>IFERROR(__xludf.DUMMYFUNCTION("SPLIT(G348,"","")"),44462.0)</f>
        <v>44462</v>
      </c>
      <c r="I348" s="6">
        <f>IFERROR(__xludf.DUMMYFUNCTION("""COMPUTED_VALUE"""),0.8975115740740741)</f>
        <v>0.8975115741</v>
      </c>
    </row>
    <row r="349">
      <c r="A349" s="2">
        <v>5.39</v>
      </c>
      <c r="B349" s="2">
        <v>229.0</v>
      </c>
      <c r="C349" s="2">
        <v>810.0</v>
      </c>
      <c r="D349" s="2">
        <v>5.45</v>
      </c>
      <c r="E349" s="2">
        <v>0.66</v>
      </c>
      <c r="F349" s="2">
        <v>50.0</v>
      </c>
      <c r="G349" s="3">
        <v>44462.89761694444</v>
      </c>
      <c r="H349" s="5">
        <f>IFERROR(__xludf.DUMMYFUNCTION("SPLIT(G349,"","")"),44462.0)</f>
        <v>44462</v>
      </c>
      <c r="I349" s="6">
        <f>IFERROR(__xludf.DUMMYFUNCTION("""COMPUTED_VALUE"""),0.8976157407407407)</f>
        <v>0.8976157407</v>
      </c>
    </row>
    <row r="350">
      <c r="A350" s="2">
        <v>5.39</v>
      </c>
      <c r="B350" s="2">
        <v>228.9</v>
      </c>
      <c r="C350" s="2">
        <v>810.2</v>
      </c>
      <c r="D350" s="2">
        <v>5.45</v>
      </c>
      <c r="E350" s="2">
        <v>0.66</v>
      </c>
      <c r="F350" s="2">
        <v>50.0</v>
      </c>
      <c r="G350" s="3">
        <v>44462.897723993054</v>
      </c>
      <c r="H350" s="5">
        <f>IFERROR(__xludf.DUMMYFUNCTION("SPLIT(G350,"","")"),44462.0)</f>
        <v>44462</v>
      </c>
      <c r="I350" s="6">
        <f>IFERROR(__xludf.DUMMYFUNCTION("""COMPUTED_VALUE"""),0.8977199074074074)</f>
        <v>0.8977199074</v>
      </c>
    </row>
    <row r="351">
      <c r="A351" s="2">
        <v>5.39</v>
      </c>
      <c r="B351" s="2">
        <v>229.0</v>
      </c>
      <c r="C351" s="2">
        <v>810.4</v>
      </c>
      <c r="D351" s="2">
        <v>5.45</v>
      </c>
      <c r="E351" s="2">
        <v>0.66</v>
      </c>
      <c r="F351" s="2">
        <v>50.0</v>
      </c>
      <c r="G351" s="3">
        <v>44462.89782626157</v>
      </c>
      <c r="H351" s="5">
        <f>IFERROR(__xludf.DUMMYFUNCTION("SPLIT(G351,"","")"),44462.0)</f>
        <v>44462</v>
      </c>
      <c r="I351" s="6">
        <f>IFERROR(__xludf.DUMMYFUNCTION("""COMPUTED_VALUE"""),0.897824074074074)</f>
        <v>0.8978240741</v>
      </c>
    </row>
    <row r="352">
      <c r="A352" s="2">
        <v>5.39</v>
      </c>
      <c r="B352" s="2">
        <v>228.9</v>
      </c>
      <c r="C352" s="2">
        <v>810.5</v>
      </c>
      <c r="D352" s="2">
        <v>5.45</v>
      </c>
      <c r="E352" s="2">
        <v>0.66</v>
      </c>
      <c r="F352" s="2">
        <v>50.0</v>
      </c>
      <c r="G352" s="3">
        <v>44462.89792815973</v>
      </c>
      <c r="H352" s="5">
        <f>IFERROR(__xludf.DUMMYFUNCTION("SPLIT(G352,"","")"),44462.0)</f>
        <v>44462</v>
      </c>
      <c r="I352" s="6">
        <f>IFERROR(__xludf.DUMMYFUNCTION("""COMPUTED_VALUE"""),0.8979282407407407)</f>
        <v>0.8979282407</v>
      </c>
    </row>
    <row r="353">
      <c r="A353" s="2">
        <v>5.39</v>
      </c>
      <c r="B353" s="2">
        <v>229.0</v>
      </c>
      <c r="C353" s="2">
        <v>810.5</v>
      </c>
      <c r="D353" s="2">
        <v>5.45</v>
      </c>
      <c r="E353" s="2">
        <v>0.66</v>
      </c>
      <c r="F353" s="2">
        <v>50.0</v>
      </c>
      <c r="G353" s="3">
        <v>44462.89803253472</v>
      </c>
      <c r="H353" s="5">
        <f>IFERROR(__xludf.DUMMYFUNCTION("SPLIT(G353,"","")"),44462.0)</f>
        <v>44462</v>
      </c>
      <c r="I353" s="6">
        <f>IFERROR(__xludf.DUMMYFUNCTION("""COMPUTED_VALUE"""),0.8980324074074074)</f>
        <v>0.8980324074</v>
      </c>
    </row>
    <row r="354">
      <c r="A354" s="2">
        <v>5.4</v>
      </c>
      <c r="B354" s="2">
        <v>229.0</v>
      </c>
      <c r="C354" s="2">
        <v>810.7</v>
      </c>
      <c r="D354" s="2">
        <v>5.46</v>
      </c>
      <c r="E354" s="2">
        <v>0.66</v>
      </c>
      <c r="F354" s="2">
        <v>50.0</v>
      </c>
      <c r="G354" s="3">
        <v>44462.898134375</v>
      </c>
      <c r="H354" s="5">
        <f>IFERROR(__xludf.DUMMYFUNCTION("SPLIT(G354,"","")"),44462.0)</f>
        <v>44462</v>
      </c>
      <c r="I354" s="6">
        <f>IFERROR(__xludf.DUMMYFUNCTION("""COMPUTED_VALUE"""),0.8981365740740741)</f>
        <v>0.8981365741</v>
      </c>
    </row>
    <row r="355">
      <c r="A355" s="2">
        <v>5.41</v>
      </c>
      <c r="B355" s="2">
        <v>229.0</v>
      </c>
      <c r="C355" s="2">
        <v>810.9</v>
      </c>
      <c r="D355" s="2">
        <v>5.46</v>
      </c>
      <c r="E355" s="2">
        <v>0.65</v>
      </c>
      <c r="F355" s="2">
        <v>50.0</v>
      </c>
      <c r="G355" s="3">
        <v>44462.89824181713</v>
      </c>
      <c r="H355" s="5">
        <f>IFERROR(__xludf.DUMMYFUNCTION("SPLIT(G355,"","")"),44462.0)</f>
        <v>44462</v>
      </c>
      <c r="I355" s="6">
        <f>IFERROR(__xludf.DUMMYFUNCTION("""COMPUTED_VALUE"""),0.8982407407407408)</f>
        <v>0.8982407407</v>
      </c>
    </row>
    <row r="356">
      <c r="A356" s="2">
        <v>5.41</v>
      </c>
      <c r="B356" s="2">
        <v>228.9</v>
      </c>
      <c r="C356" s="2">
        <v>810.9</v>
      </c>
      <c r="D356" s="2">
        <v>5.46</v>
      </c>
      <c r="E356" s="2">
        <v>0.65</v>
      </c>
      <c r="F356" s="2">
        <v>50.0</v>
      </c>
      <c r="G356" s="3">
        <v>44462.89834712963</v>
      </c>
      <c r="H356" s="5">
        <f>IFERROR(__xludf.DUMMYFUNCTION("SPLIT(G356,"","")"),44462.0)</f>
        <v>44462</v>
      </c>
      <c r="I356" s="6">
        <f>IFERROR(__xludf.DUMMYFUNCTION("""COMPUTED_VALUE"""),0.8983449074074074)</f>
        <v>0.8983449074</v>
      </c>
    </row>
    <row r="357">
      <c r="A357" s="2">
        <v>5.4</v>
      </c>
      <c r="B357" s="2">
        <v>229.0</v>
      </c>
      <c r="C357" s="2">
        <v>811.0</v>
      </c>
      <c r="D357" s="2">
        <v>5.46</v>
      </c>
      <c r="E357" s="2">
        <v>0.66</v>
      </c>
      <c r="F357" s="2">
        <v>50.0</v>
      </c>
      <c r="G357" s="3">
        <v>44462.898453761576</v>
      </c>
      <c r="H357" s="5">
        <f>IFERROR(__xludf.DUMMYFUNCTION("SPLIT(G357,"","")"),44462.0)</f>
        <v>44462</v>
      </c>
      <c r="I357" s="6">
        <f>IFERROR(__xludf.DUMMYFUNCTION("""COMPUTED_VALUE"""),0.898449074074074)</f>
        <v>0.8984490741</v>
      </c>
    </row>
    <row r="358">
      <c r="A358" s="2">
        <v>5.41</v>
      </c>
      <c r="B358" s="2">
        <v>229.2</v>
      </c>
      <c r="C358" s="2">
        <v>810.9</v>
      </c>
      <c r="D358" s="2">
        <v>5.46</v>
      </c>
      <c r="E358" s="2">
        <v>0.65</v>
      </c>
      <c r="F358" s="2">
        <v>50.0</v>
      </c>
      <c r="G358" s="3">
        <v>44462.89855738426</v>
      </c>
      <c r="H358" s="5">
        <f>IFERROR(__xludf.DUMMYFUNCTION("SPLIT(G358,"","")"),44462.0)</f>
        <v>44462</v>
      </c>
      <c r="I358" s="6">
        <f>IFERROR(__xludf.DUMMYFUNCTION("""COMPUTED_VALUE"""),0.8985532407407407)</f>
        <v>0.8985532407</v>
      </c>
    </row>
    <row r="359">
      <c r="A359" s="2">
        <v>5.4</v>
      </c>
      <c r="B359" s="2">
        <v>229.2</v>
      </c>
      <c r="C359" s="2">
        <v>811.1</v>
      </c>
      <c r="D359" s="2">
        <v>5.47</v>
      </c>
      <c r="E359" s="2">
        <v>0.66</v>
      </c>
      <c r="F359" s="2">
        <v>50.0</v>
      </c>
      <c r="G359" s="3">
        <v>44462.89866290509</v>
      </c>
      <c r="H359" s="5">
        <f>IFERROR(__xludf.DUMMYFUNCTION("SPLIT(G359,"","")"),44462.0)</f>
        <v>44462</v>
      </c>
      <c r="I359" s="6">
        <f>IFERROR(__xludf.DUMMYFUNCTION("""COMPUTED_VALUE"""),0.8986574074074074)</f>
        <v>0.8986574074</v>
      </c>
    </row>
    <row r="360">
      <c r="A360" s="2">
        <v>5.4</v>
      </c>
      <c r="B360" s="2">
        <v>229.2</v>
      </c>
      <c r="C360" s="2">
        <v>811.2</v>
      </c>
      <c r="D360" s="2">
        <v>5.47</v>
      </c>
      <c r="E360" s="2">
        <v>0.66</v>
      </c>
      <c r="F360" s="2">
        <v>50.0</v>
      </c>
      <c r="G360" s="3">
        <v>44462.89877013889</v>
      </c>
      <c r="H360" s="5">
        <f>IFERROR(__xludf.DUMMYFUNCTION("SPLIT(G360,"","")"),44462.0)</f>
        <v>44462</v>
      </c>
      <c r="I360" s="6">
        <f>IFERROR(__xludf.DUMMYFUNCTION("""COMPUTED_VALUE"""),0.8987731481481481)</f>
        <v>0.8987731481</v>
      </c>
    </row>
    <row r="361">
      <c r="A361" s="2">
        <v>5.4</v>
      </c>
      <c r="B361" s="2">
        <v>229.3</v>
      </c>
      <c r="C361" s="2">
        <v>811.2</v>
      </c>
      <c r="D361" s="2">
        <v>5.47</v>
      </c>
      <c r="E361" s="2">
        <v>0.66</v>
      </c>
      <c r="F361" s="2">
        <v>50.0</v>
      </c>
      <c r="G361" s="3">
        <v>44462.898885138886</v>
      </c>
      <c r="H361" s="5">
        <f>IFERROR(__xludf.DUMMYFUNCTION("SPLIT(G361,"","")"),44462.0)</f>
        <v>44462</v>
      </c>
      <c r="I361" s="6">
        <f>IFERROR(__xludf.DUMMYFUNCTION("""COMPUTED_VALUE"""),0.8988888888888888)</f>
        <v>0.8988888889</v>
      </c>
    </row>
    <row r="362">
      <c r="A362" s="2">
        <v>5.4</v>
      </c>
      <c r="B362" s="2">
        <v>229.3</v>
      </c>
      <c r="C362" s="2">
        <v>811.3</v>
      </c>
      <c r="D362" s="2">
        <v>5.47</v>
      </c>
      <c r="E362" s="2">
        <v>0.65</v>
      </c>
      <c r="F362" s="2">
        <v>50.0</v>
      </c>
      <c r="G362" s="3">
        <v>44462.89898636574</v>
      </c>
      <c r="H362" s="5">
        <f>IFERROR(__xludf.DUMMYFUNCTION("SPLIT(G362,"","")"),44462.0)</f>
        <v>44462</v>
      </c>
      <c r="I362" s="6">
        <f>IFERROR(__xludf.DUMMYFUNCTION("""COMPUTED_VALUE"""),0.8989814814814815)</f>
        <v>0.8989814815</v>
      </c>
    </row>
    <row r="363">
      <c r="A363" s="2">
        <v>5.36</v>
      </c>
      <c r="B363" s="2">
        <v>229.9</v>
      </c>
      <c r="C363" s="2">
        <v>811.6</v>
      </c>
      <c r="D363" s="2">
        <v>5.47</v>
      </c>
      <c r="E363" s="2">
        <v>0.66</v>
      </c>
      <c r="F363" s="2">
        <v>50.0</v>
      </c>
      <c r="G363" s="3">
        <v>44462.899087314814</v>
      </c>
      <c r="H363" s="5">
        <f>IFERROR(__xludf.DUMMYFUNCTION("SPLIT(G363,"","")"),44462.0)</f>
        <v>44462</v>
      </c>
      <c r="I363" s="6">
        <f>IFERROR(__xludf.DUMMYFUNCTION("""COMPUTED_VALUE"""),0.8990856481481482)</f>
        <v>0.8990856481</v>
      </c>
    </row>
    <row r="364">
      <c r="A364" s="2">
        <v>5.36</v>
      </c>
      <c r="B364" s="2">
        <v>229.8</v>
      </c>
      <c r="C364" s="2">
        <v>811.7</v>
      </c>
      <c r="D364" s="2">
        <v>5.48</v>
      </c>
      <c r="E364" s="2">
        <v>0.66</v>
      </c>
      <c r="F364" s="2">
        <v>50.0</v>
      </c>
      <c r="G364" s="3">
        <v>44462.89922475694</v>
      </c>
      <c r="H364" s="5">
        <f>IFERROR(__xludf.DUMMYFUNCTION("SPLIT(G364,"","")"),44462.0)</f>
        <v>44462</v>
      </c>
      <c r="I364" s="6">
        <f>IFERROR(__xludf.DUMMYFUNCTION("""COMPUTED_VALUE"""),0.8992245370370371)</f>
        <v>0.899224537</v>
      </c>
    </row>
    <row r="365">
      <c r="A365" s="2">
        <v>5.37</v>
      </c>
      <c r="B365" s="2">
        <v>229.7</v>
      </c>
      <c r="C365" s="2">
        <v>811.9</v>
      </c>
      <c r="D365" s="2">
        <v>5.48</v>
      </c>
      <c r="E365" s="2">
        <v>0.66</v>
      </c>
      <c r="F365" s="2">
        <v>50.0</v>
      </c>
      <c r="G365" s="3">
        <v>44462.89932547454</v>
      </c>
      <c r="H365" s="5">
        <f>IFERROR(__xludf.DUMMYFUNCTION("SPLIT(G365,"","")"),44462.0)</f>
        <v>44462</v>
      </c>
      <c r="I365" s="6">
        <f>IFERROR(__xludf.DUMMYFUNCTION("""COMPUTED_VALUE"""),0.8993287037037037)</f>
        <v>0.8993287037</v>
      </c>
    </row>
    <row r="366">
      <c r="A366" s="2">
        <v>5.37</v>
      </c>
      <c r="B366" s="2">
        <v>229.8</v>
      </c>
      <c r="C366" s="2">
        <v>811.9</v>
      </c>
      <c r="D366" s="2">
        <v>5.48</v>
      </c>
      <c r="E366" s="2">
        <v>0.66</v>
      </c>
      <c r="F366" s="2">
        <v>50.0</v>
      </c>
      <c r="G366" s="3">
        <v>44462.89942824074</v>
      </c>
      <c r="H366" s="5">
        <f>IFERROR(__xludf.DUMMYFUNCTION("SPLIT(G366,"","")"),44462.0)</f>
        <v>44462</v>
      </c>
      <c r="I366" s="6">
        <f>IFERROR(__xludf.DUMMYFUNCTION("""COMPUTED_VALUE"""),0.8994328703703703)</f>
        <v>0.8994328704</v>
      </c>
    </row>
    <row r="367">
      <c r="A367" s="2">
        <v>5.37</v>
      </c>
      <c r="B367" s="2">
        <v>229.8</v>
      </c>
      <c r="C367" s="2">
        <v>812.1</v>
      </c>
      <c r="D367" s="2">
        <v>5.48</v>
      </c>
      <c r="E367" s="2">
        <v>0.66</v>
      </c>
      <c r="F367" s="2">
        <v>50.0</v>
      </c>
      <c r="G367" s="3">
        <v>44462.89953042824</v>
      </c>
      <c r="H367" s="5">
        <f>IFERROR(__xludf.DUMMYFUNCTION("SPLIT(G367,"","")"),44462.0)</f>
        <v>44462</v>
      </c>
      <c r="I367" s="6">
        <f>IFERROR(__xludf.DUMMYFUNCTION("""COMPUTED_VALUE"""),0.899525462962963)</f>
        <v>0.899525463</v>
      </c>
    </row>
    <row r="368">
      <c r="A368" s="2">
        <v>5.36</v>
      </c>
      <c r="B368" s="2">
        <v>229.9</v>
      </c>
      <c r="C368" s="2">
        <v>812.2</v>
      </c>
      <c r="D368" s="2">
        <v>5.49</v>
      </c>
      <c r="E368" s="2">
        <v>0.66</v>
      </c>
      <c r="F368" s="2">
        <v>50.0</v>
      </c>
      <c r="G368" s="3">
        <v>44462.89962979167</v>
      </c>
      <c r="H368" s="5">
        <f>IFERROR(__xludf.DUMMYFUNCTION("SPLIT(G368,"","")"),44462.0)</f>
        <v>44462</v>
      </c>
      <c r="I368" s="6">
        <f>IFERROR(__xludf.DUMMYFUNCTION("""COMPUTED_VALUE"""),0.8996296296296297)</f>
        <v>0.8996296296</v>
      </c>
    </row>
    <row r="369">
      <c r="A369" s="2">
        <v>5.36</v>
      </c>
      <c r="B369" s="2">
        <v>230.0</v>
      </c>
      <c r="C369" s="2">
        <v>812.3</v>
      </c>
      <c r="D369" s="2">
        <v>5.49</v>
      </c>
      <c r="E369" s="2">
        <v>0.66</v>
      </c>
      <c r="F369" s="2">
        <v>50.0</v>
      </c>
      <c r="G369" s="3">
        <v>44462.89974486111</v>
      </c>
      <c r="H369" s="5">
        <f>IFERROR(__xludf.DUMMYFUNCTION("SPLIT(G369,"","")"),44462.0)</f>
        <v>44462</v>
      </c>
      <c r="I369" s="6">
        <f>IFERROR(__xludf.DUMMYFUNCTION("""COMPUTED_VALUE"""),0.8997453703703704)</f>
        <v>0.8997453704</v>
      </c>
    </row>
    <row r="370">
      <c r="A370" s="2">
        <v>5.39</v>
      </c>
      <c r="B370" s="2">
        <v>229.8</v>
      </c>
      <c r="C370" s="2">
        <v>812.4</v>
      </c>
      <c r="D370" s="2">
        <v>5.49</v>
      </c>
      <c r="E370" s="2">
        <v>0.66</v>
      </c>
      <c r="F370" s="2">
        <v>50.0</v>
      </c>
      <c r="G370" s="3">
        <v>44462.89984891204</v>
      </c>
      <c r="H370" s="5">
        <f>IFERROR(__xludf.DUMMYFUNCTION("SPLIT(G370,"","")"),44462.0)</f>
        <v>44462</v>
      </c>
      <c r="I370" s="6">
        <f>IFERROR(__xludf.DUMMYFUNCTION("""COMPUTED_VALUE"""),0.8998495370370371)</f>
        <v>0.899849537</v>
      </c>
    </row>
    <row r="371">
      <c r="A371" s="2">
        <v>5.39</v>
      </c>
      <c r="B371" s="2">
        <v>229.7</v>
      </c>
      <c r="C371" s="2">
        <v>812.6</v>
      </c>
      <c r="D371" s="2">
        <v>5.49</v>
      </c>
      <c r="E371" s="2">
        <v>0.66</v>
      </c>
      <c r="F371" s="2">
        <v>50.0</v>
      </c>
      <c r="G371" s="3">
        <v>44462.89994993056</v>
      </c>
      <c r="H371" s="5">
        <f>IFERROR(__xludf.DUMMYFUNCTION("SPLIT(G371,"","")"),44462.0)</f>
        <v>44462</v>
      </c>
      <c r="I371" s="6">
        <f>IFERROR(__xludf.DUMMYFUNCTION("""COMPUTED_VALUE"""),0.8999537037037038)</f>
        <v>0.8999537037</v>
      </c>
    </row>
    <row r="372">
      <c r="A372" s="2">
        <v>5.39</v>
      </c>
      <c r="B372" s="2">
        <v>229.8</v>
      </c>
      <c r="C372" s="2">
        <v>812.6</v>
      </c>
      <c r="D372" s="2">
        <v>5.49</v>
      </c>
      <c r="E372" s="2">
        <v>0.66</v>
      </c>
      <c r="F372" s="2">
        <v>50.0</v>
      </c>
      <c r="G372" s="3">
        <v>44462.90005753472</v>
      </c>
      <c r="H372" s="5">
        <f>IFERROR(__xludf.DUMMYFUNCTION("SPLIT(G372,"","")"),44462.0)</f>
        <v>44462</v>
      </c>
      <c r="I372" s="6">
        <f>IFERROR(__xludf.DUMMYFUNCTION("""COMPUTED_VALUE"""),0.9000578703703703)</f>
        <v>0.9000578704</v>
      </c>
    </row>
    <row r="373">
      <c r="A373" s="2">
        <v>5.39</v>
      </c>
      <c r="B373" s="2">
        <v>229.9</v>
      </c>
      <c r="C373" s="2">
        <v>812.8</v>
      </c>
      <c r="D373" s="2">
        <v>5.49</v>
      </c>
      <c r="E373" s="2">
        <v>0.66</v>
      </c>
      <c r="F373" s="2">
        <v>50.0</v>
      </c>
      <c r="G373" s="3">
        <v>44462.90016347222</v>
      </c>
      <c r="H373" s="5">
        <f>IFERROR(__xludf.DUMMYFUNCTION("SPLIT(G373,"","")"),44462.0)</f>
        <v>44462</v>
      </c>
      <c r="I373" s="6">
        <f>IFERROR(__xludf.DUMMYFUNCTION("""COMPUTED_VALUE"""),0.900162037037037)</f>
        <v>0.900162037</v>
      </c>
    </row>
    <row r="374">
      <c r="A374" s="2">
        <v>5.38</v>
      </c>
      <c r="B374" s="2">
        <v>229.9</v>
      </c>
      <c r="C374" s="2">
        <v>812.8</v>
      </c>
      <c r="D374" s="2">
        <v>5.5</v>
      </c>
      <c r="E374" s="2">
        <v>0.66</v>
      </c>
      <c r="F374" s="2">
        <v>50.0</v>
      </c>
      <c r="G374" s="3">
        <v>44462.90026841435</v>
      </c>
      <c r="H374" s="5">
        <f>IFERROR(__xludf.DUMMYFUNCTION("SPLIT(G374,"","")"),44462.0)</f>
        <v>44462</v>
      </c>
      <c r="I374" s="6">
        <f>IFERROR(__xludf.DUMMYFUNCTION("""COMPUTED_VALUE"""),0.9002662037037037)</f>
        <v>0.9002662037</v>
      </c>
    </row>
    <row r="375">
      <c r="A375" s="2">
        <v>5.39</v>
      </c>
      <c r="B375" s="2">
        <v>229.6</v>
      </c>
      <c r="C375" s="2">
        <v>812.8</v>
      </c>
      <c r="D375" s="2">
        <v>5.5</v>
      </c>
      <c r="E375" s="2">
        <v>0.66</v>
      </c>
      <c r="F375" s="2">
        <v>50.0</v>
      </c>
      <c r="G375" s="3">
        <v>44462.900374756944</v>
      </c>
      <c r="H375" s="5">
        <f>IFERROR(__xludf.DUMMYFUNCTION("SPLIT(G375,"","")"),44462.0)</f>
        <v>44462</v>
      </c>
      <c r="I375" s="6">
        <f>IFERROR(__xludf.DUMMYFUNCTION("""COMPUTED_VALUE"""),0.9003703703703704)</f>
        <v>0.9003703704</v>
      </c>
    </row>
    <row r="376">
      <c r="A376" s="2">
        <v>5.39</v>
      </c>
      <c r="B376" s="2">
        <v>229.7</v>
      </c>
      <c r="C376" s="2">
        <v>813.0</v>
      </c>
      <c r="D376" s="2">
        <v>5.5</v>
      </c>
      <c r="E376" s="2">
        <v>0.66</v>
      </c>
      <c r="F376" s="2">
        <v>49.9</v>
      </c>
      <c r="G376" s="3">
        <v>44462.900471747686</v>
      </c>
      <c r="H376" s="5">
        <f>IFERROR(__xludf.DUMMYFUNCTION("SPLIT(G376,"","")"),44462.0)</f>
        <v>44462</v>
      </c>
      <c r="I376" s="6">
        <f>IFERROR(__xludf.DUMMYFUNCTION("""COMPUTED_VALUE"""),0.9004745370370371)</f>
        <v>0.900474537</v>
      </c>
    </row>
    <row r="377">
      <c r="A377" s="2">
        <v>5.4</v>
      </c>
      <c r="B377" s="2">
        <v>229.5</v>
      </c>
      <c r="C377" s="2">
        <v>813.0</v>
      </c>
      <c r="D377" s="2">
        <v>5.5</v>
      </c>
      <c r="E377" s="2">
        <v>0.66</v>
      </c>
      <c r="F377" s="2">
        <v>49.9</v>
      </c>
      <c r="G377" s="3">
        <v>44462.900574768515</v>
      </c>
      <c r="H377" s="5">
        <f>IFERROR(__xludf.DUMMYFUNCTION("SPLIT(G377,"","")"),44462.0)</f>
        <v>44462</v>
      </c>
      <c r="I377" s="6">
        <f>IFERROR(__xludf.DUMMYFUNCTION("""COMPUTED_VALUE"""),0.9005787037037037)</f>
        <v>0.9005787037</v>
      </c>
    </row>
    <row r="378">
      <c r="A378" s="2">
        <v>5.41</v>
      </c>
      <c r="B378" s="2">
        <v>229.5</v>
      </c>
      <c r="C378" s="2">
        <v>813.1</v>
      </c>
      <c r="D378" s="2">
        <v>5.51</v>
      </c>
      <c r="E378" s="2">
        <v>0.66</v>
      </c>
      <c r="F378" s="2">
        <v>49.9</v>
      </c>
      <c r="G378" s="3">
        <v>44462.90068017361</v>
      </c>
      <c r="H378" s="5">
        <f>IFERROR(__xludf.DUMMYFUNCTION("SPLIT(G378,"","")"),44462.0)</f>
        <v>44462</v>
      </c>
      <c r="I378" s="6">
        <f>IFERROR(__xludf.DUMMYFUNCTION("""COMPUTED_VALUE"""),0.9006828703703704)</f>
        <v>0.9006828704</v>
      </c>
    </row>
    <row r="379">
      <c r="A379" s="2">
        <v>5.41</v>
      </c>
      <c r="B379" s="2">
        <v>229.5</v>
      </c>
      <c r="C379" s="2">
        <v>813.2</v>
      </c>
      <c r="D379" s="2">
        <v>5.51</v>
      </c>
      <c r="E379" s="2">
        <v>0.65</v>
      </c>
      <c r="F379" s="2">
        <v>50.0</v>
      </c>
      <c r="G379" s="3">
        <v>44462.900786238424</v>
      </c>
      <c r="H379" s="5">
        <f>IFERROR(__xludf.DUMMYFUNCTION("SPLIT(G379,"","")"),44462.0)</f>
        <v>44462</v>
      </c>
      <c r="I379" s="6">
        <f>IFERROR(__xludf.DUMMYFUNCTION("""COMPUTED_VALUE"""),0.900787037037037)</f>
        <v>0.900787037</v>
      </c>
    </row>
    <row r="380">
      <c r="A380" s="2">
        <v>5.4</v>
      </c>
      <c r="B380" s="2">
        <v>229.6</v>
      </c>
      <c r="C380" s="2">
        <v>813.4</v>
      </c>
      <c r="D380" s="2">
        <v>5.51</v>
      </c>
      <c r="E380" s="2">
        <v>0.66</v>
      </c>
      <c r="F380" s="2">
        <v>50.0</v>
      </c>
      <c r="G380" s="3">
        <v>44462.90089452546</v>
      </c>
      <c r="H380" s="5">
        <f>IFERROR(__xludf.DUMMYFUNCTION("SPLIT(G380,"","")"),44462.0)</f>
        <v>44462</v>
      </c>
      <c r="I380" s="6">
        <f>IFERROR(__xludf.DUMMYFUNCTION("""COMPUTED_VALUE"""),0.9008912037037037)</f>
        <v>0.9008912037</v>
      </c>
    </row>
    <row r="381">
      <c r="A381" s="2">
        <v>5.4</v>
      </c>
      <c r="B381" s="2">
        <v>229.6</v>
      </c>
      <c r="C381" s="2">
        <v>813.6</v>
      </c>
      <c r="D381" s="2">
        <v>5.51</v>
      </c>
      <c r="E381" s="2">
        <v>0.66</v>
      </c>
      <c r="F381" s="2">
        <v>50.0</v>
      </c>
      <c r="G381" s="3">
        <v>44462.901006423606</v>
      </c>
      <c r="H381" s="5">
        <f>IFERROR(__xludf.DUMMYFUNCTION("SPLIT(G381,"","")"),44462.0)</f>
        <v>44462</v>
      </c>
      <c r="I381" s="6">
        <f>IFERROR(__xludf.DUMMYFUNCTION("""COMPUTED_VALUE"""),0.9010069444444444)</f>
        <v>0.9010069444</v>
      </c>
    </row>
    <row r="382">
      <c r="A382" s="2">
        <v>5.41</v>
      </c>
      <c r="B382" s="2">
        <v>229.4</v>
      </c>
      <c r="C382" s="2">
        <v>813.6</v>
      </c>
      <c r="D382" s="2">
        <v>5.51</v>
      </c>
      <c r="E382" s="2">
        <v>0.66</v>
      </c>
      <c r="F382" s="2">
        <v>50.0</v>
      </c>
      <c r="G382" s="3">
        <v>44462.901107812504</v>
      </c>
      <c r="H382" s="5">
        <f>IFERROR(__xludf.DUMMYFUNCTION("SPLIT(G382,"","")"),44462.0)</f>
        <v>44462</v>
      </c>
      <c r="I382" s="6">
        <f>IFERROR(__xludf.DUMMYFUNCTION("""COMPUTED_VALUE"""),0.9011111111111111)</f>
        <v>0.9011111111</v>
      </c>
    </row>
    <row r="383">
      <c r="A383" s="2">
        <v>5.4</v>
      </c>
      <c r="B383" s="2">
        <v>229.6</v>
      </c>
      <c r="C383" s="2">
        <v>813.8</v>
      </c>
      <c r="D383" s="2">
        <v>5.51</v>
      </c>
      <c r="E383" s="2">
        <v>0.66</v>
      </c>
      <c r="F383" s="2">
        <v>50.0</v>
      </c>
      <c r="G383" s="3">
        <v>44462.90126028935</v>
      </c>
      <c r="H383" s="5">
        <f>IFERROR(__xludf.DUMMYFUNCTION("SPLIT(G383,"","")"),44462.0)</f>
        <v>44462</v>
      </c>
      <c r="I383" s="6">
        <f>IFERROR(__xludf.DUMMYFUNCTION("""COMPUTED_VALUE"""),0.901261574074074)</f>
        <v>0.9012615741</v>
      </c>
    </row>
    <row r="384">
      <c r="A384" s="2">
        <v>5.39</v>
      </c>
      <c r="B384" s="2">
        <v>230.0</v>
      </c>
      <c r="C384" s="2">
        <v>813.9</v>
      </c>
      <c r="D384" s="2">
        <v>5.52</v>
      </c>
      <c r="E384" s="2">
        <v>0.66</v>
      </c>
      <c r="F384" s="2">
        <v>50.0</v>
      </c>
      <c r="G384" s="3">
        <v>44462.901366666665</v>
      </c>
      <c r="H384" s="5">
        <f>IFERROR(__xludf.DUMMYFUNCTION("SPLIT(G384,"","")"),44462.0)</f>
        <v>44462</v>
      </c>
      <c r="I384" s="6">
        <f>IFERROR(__xludf.DUMMYFUNCTION("""COMPUTED_VALUE"""),0.9013657407407407)</f>
        <v>0.9013657407</v>
      </c>
    </row>
    <row r="385">
      <c r="A385" s="2">
        <v>5.39</v>
      </c>
      <c r="B385" s="2">
        <v>229.9</v>
      </c>
      <c r="C385" s="2">
        <v>814.0</v>
      </c>
      <c r="D385" s="2">
        <v>5.52</v>
      </c>
      <c r="E385" s="2">
        <v>0.66</v>
      </c>
      <c r="F385" s="2">
        <v>50.0</v>
      </c>
      <c r="G385" s="3">
        <v>44462.901473252314</v>
      </c>
      <c r="H385" s="5">
        <f>IFERROR(__xludf.DUMMYFUNCTION("SPLIT(G385,"","")"),44462.0)</f>
        <v>44462</v>
      </c>
      <c r="I385" s="6">
        <f>IFERROR(__xludf.DUMMYFUNCTION("""COMPUTED_VALUE"""),0.9014699074074074)</f>
        <v>0.9014699074</v>
      </c>
    </row>
    <row r="386">
      <c r="A386" s="2">
        <v>5.39</v>
      </c>
      <c r="B386" s="2">
        <v>229.9</v>
      </c>
      <c r="C386" s="2">
        <v>814.2</v>
      </c>
      <c r="D386" s="2">
        <v>5.52</v>
      </c>
      <c r="E386" s="2">
        <v>0.66</v>
      </c>
      <c r="F386" s="2">
        <v>50.0</v>
      </c>
      <c r="G386" s="3">
        <v>44462.901575208336</v>
      </c>
      <c r="H386" s="5">
        <f>IFERROR(__xludf.DUMMYFUNCTION("SPLIT(G386,"","")"),44462.0)</f>
        <v>44462</v>
      </c>
      <c r="I386" s="6">
        <f>IFERROR(__xludf.DUMMYFUNCTION("""COMPUTED_VALUE"""),0.9015740740740741)</f>
        <v>0.9015740741</v>
      </c>
    </row>
    <row r="387">
      <c r="A387" s="2">
        <v>5.36</v>
      </c>
      <c r="B387" s="2">
        <v>230.2</v>
      </c>
      <c r="C387" s="2">
        <v>814.2</v>
      </c>
      <c r="D387" s="2">
        <v>5.53</v>
      </c>
      <c r="E387" s="2">
        <v>0.66</v>
      </c>
      <c r="F387" s="2">
        <v>50.0</v>
      </c>
      <c r="G387" s="3">
        <v>44462.90167709491</v>
      </c>
      <c r="H387" s="5">
        <f>IFERROR(__xludf.DUMMYFUNCTION("SPLIT(G387,"","")"),44462.0)</f>
        <v>44462</v>
      </c>
      <c r="I387" s="6">
        <f>IFERROR(__xludf.DUMMYFUNCTION("""COMPUTED_VALUE"""),0.9016782407407408)</f>
        <v>0.9016782407</v>
      </c>
    </row>
    <row r="388">
      <c r="A388" s="2">
        <v>5.37</v>
      </c>
      <c r="B388" s="2">
        <v>230.1</v>
      </c>
      <c r="C388" s="2">
        <v>814.2</v>
      </c>
      <c r="D388" s="2">
        <v>5.53</v>
      </c>
      <c r="E388" s="2">
        <v>0.66</v>
      </c>
      <c r="F388" s="2">
        <v>50.0</v>
      </c>
      <c r="G388" s="3">
        <v>44462.90177931713</v>
      </c>
      <c r="H388" s="5">
        <f>IFERROR(__xludf.DUMMYFUNCTION("SPLIT(G388,"","")"),44462.0)</f>
        <v>44462</v>
      </c>
      <c r="I388" s="6">
        <f>IFERROR(__xludf.DUMMYFUNCTION("""COMPUTED_VALUE"""),0.9017824074074074)</f>
        <v>0.9017824074</v>
      </c>
    </row>
    <row r="389">
      <c r="A389" s="2">
        <v>5.37</v>
      </c>
      <c r="B389" s="2">
        <v>230.2</v>
      </c>
      <c r="C389" s="2">
        <v>814.3</v>
      </c>
      <c r="D389" s="2">
        <v>5.53</v>
      </c>
      <c r="E389" s="2">
        <v>0.66</v>
      </c>
      <c r="F389" s="2">
        <v>50.0</v>
      </c>
      <c r="G389" s="3">
        <v>44462.90188533565</v>
      </c>
      <c r="H389" s="5">
        <f>IFERROR(__xludf.DUMMYFUNCTION("SPLIT(G389,"","")"),44462.0)</f>
        <v>44462</v>
      </c>
      <c r="I389" s="6">
        <f>IFERROR(__xludf.DUMMYFUNCTION("""COMPUTED_VALUE"""),0.901886574074074)</f>
        <v>0.9018865741</v>
      </c>
    </row>
    <row r="390">
      <c r="A390" s="2">
        <v>5.37</v>
      </c>
      <c r="B390" s="2">
        <v>230.2</v>
      </c>
      <c r="C390" s="2">
        <v>814.4</v>
      </c>
      <c r="D390" s="2">
        <v>5.53</v>
      </c>
      <c r="E390" s="2">
        <v>0.66</v>
      </c>
      <c r="F390" s="2">
        <v>50.0</v>
      </c>
      <c r="G390" s="3">
        <v>44462.90199059028</v>
      </c>
      <c r="H390" s="5">
        <f>IFERROR(__xludf.DUMMYFUNCTION("SPLIT(G390,"","")"),44462.0)</f>
        <v>44462</v>
      </c>
      <c r="I390" s="6">
        <f>IFERROR(__xludf.DUMMYFUNCTION("""COMPUTED_VALUE"""),0.9019907407407407)</f>
        <v>0.9019907407</v>
      </c>
    </row>
    <row r="391">
      <c r="A391" s="2">
        <v>5.39</v>
      </c>
      <c r="B391" s="2">
        <v>230.0</v>
      </c>
      <c r="C391" s="2">
        <v>814.6</v>
      </c>
      <c r="D391" s="2">
        <v>5.53</v>
      </c>
      <c r="E391" s="2">
        <v>0.66</v>
      </c>
      <c r="F391" s="2">
        <v>50.0</v>
      </c>
      <c r="G391" s="3">
        <v>44462.902096273145</v>
      </c>
      <c r="H391" s="5">
        <f>IFERROR(__xludf.DUMMYFUNCTION("SPLIT(G391,"","")"),44462.0)</f>
        <v>44462</v>
      </c>
      <c r="I391" s="6">
        <f>IFERROR(__xludf.DUMMYFUNCTION("""COMPUTED_VALUE"""),0.9020949074074074)</f>
        <v>0.9020949074</v>
      </c>
    </row>
    <row r="392">
      <c r="A392" s="2">
        <v>5.38</v>
      </c>
      <c r="B392" s="2">
        <v>230.1</v>
      </c>
      <c r="C392" s="2">
        <v>814.7</v>
      </c>
      <c r="D392" s="2">
        <v>5.53</v>
      </c>
      <c r="E392" s="2">
        <v>0.66</v>
      </c>
      <c r="F392" s="2">
        <v>50.0</v>
      </c>
      <c r="G392" s="3">
        <v>44462.902201793986</v>
      </c>
      <c r="H392" s="5">
        <f>IFERROR(__xludf.DUMMYFUNCTION("SPLIT(G392,"","")"),44462.0)</f>
        <v>44462</v>
      </c>
      <c r="I392" s="6">
        <f>IFERROR(__xludf.DUMMYFUNCTION("""COMPUTED_VALUE"""),0.9021990740740741)</f>
        <v>0.9021990741</v>
      </c>
    </row>
    <row r="393">
      <c r="A393" s="2">
        <v>5.38</v>
      </c>
      <c r="B393" s="2">
        <v>230.0</v>
      </c>
      <c r="C393" s="2">
        <v>814.8</v>
      </c>
      <c r="D393" s="2">
        <v>5.54</v>
      </c>
      <c r="E393" s="2">
        <v>0.66</v>
      </c>
      <c r="F393" s="2">
        <v>50.0</v>
      </c>
      <c r="G393" s="3">
        <v>44462.902312164355</v>
      </c>
      <c r="H393" s="5">
        <f>IFERROR(__xludf.DUMMYFUNCTION("SPLIT(G393,"","")"),44462.0)</f>
        <v>44462</v>
      </c>
      <c r="I393" s="6">
        <f>IFERROR(__xludf.DUMMYFUNCTION("""COMPUTED_VALUE"""),0.9023148148148148)</f>
        <v>0.9023148148</v>
      </c>
    </row>
    <row r="394">
      <c r="A394" s="2">
        <v>5.37</v>
      </c>
      <c r="B394" s="2">
        <v>230.3</v>
      </c>
      <c r="C394" s="2">
        <v>815.0</v>
      </c>
      <c r="D394" s="2">
        <v>5.54</v>
      </c>
      <c r="E394" s="2">
        <v>0.66</v>
      </c>
      <c r="F394" s="2">
        <v>50.0</v>
      </c>
      <c r="G394" s="3">
        <v>44462.90242375</v>
      </c>
      <c r="H394" s="5">
        <f>IFERROR(__xludf.DUMMYFUNCTION("SPLIT(G394,"","")"),44462.0)</f>
        <v>44462</v>
      </c>
      <c r="I394" s="6">
        <f>IFERROR(__xludf.DUMMYFUNCTION("""COMPUTED_VALUE"""),0.9024189814814815)</f>
        <v>0.9024189815</v>
      </c>
    </row>
    <row r="395">
      <c r="A395" s="2">
        <v>5.37</v>
      </c>
      <c r="B395" s="2">
        <v>230.3</v>
      </c>
      <c r="C395" s="2">
        <v>815.0</v>
      </c>
      <c r="D395" s="2">
        <v>5.54</v>
      </c>
      <c r="E395" s="2">
        <v>0.66</v>
      </c>
      <c r="F395" s="2">
        <v>50.0</v>
      </c>
      <c r="G395" s="3">
        <v>44462.902532719905</v>
      </c>
      <c r="H395" s="5">
        <f>IFERROR(__xludf.DUMMYFUNCTION("SPLIT(G395,"","")"),44462.0)</f>
        <v>44462</v>
      </c>
      <c r="I395" s="6">
        <f>IFERROR(__xludf.DUMMYFUNCTION("""COMPUTED_VALUE"""),0.9025347222222222)</f>
        <v>0.9025347222</v>
      </c>
    </row>
    <row r="396">
      <c r="A396" s="2">
        <v>5.37</v>
      </c>
      <c r="B396" s="2">
        <v>230.1</v>
      </c>
      <c r="C396" s="2">
        <v>815.3</v>
      </c>
      <c r="D396" s="2">
        <v>5.54</v>
      </c>
      <c r="E396" s="2">
        <v>0.66</v>
      </c>
      <c r="F396" s="2">
        <v>50.0</v>
      </c>
      <c r="G396" s="3">
        <v>44462.90264351852</v>
      </c>
      <c r="H396" s="5">
        <f>IFERROR(__xludf.DUMMYFUNCTION("SPLIT(G396,"","")"),44462.0)</f>
        <v>44462</v>
      </c>
      <c r="I396" s="6">
        <f>IFERROR(__xludf.DUMMYFUNCTION("""COMPUTED_VALUE"""),0.9026388888888889)</f>
        <v>0.9026388889</v>
      </c>
    </row>
    <row r="397">
      <c r="A397" s="2">
        <v>5.37</v>
      </c>
      <c r="B397" s="2">
        <v>230.4</v>
      </c>
      <c r="C397" s="2">
        <v>815.4</v>
      </c>
      <c r="D397" s="2">
        <v>5.55</v>
      </c>
      <c r="E397" s="2">
        <v>0.66</v>
      </c>
      <c r="F397" s="2">
        <v>50.0</v>
      </c>
      <c r="G397" s="3">
        <v>44462.90275340278</v>
      </c>
      <c r="H397" s="5">
        <f>IFERROR(__xludf.DUMMYFUNCTION("SPLIT(G397,"","")"),44462.0)</f>
        <v>44462</v>
      </c>
      <c r="I397" s="6">
        <f>IFERROR(__xludf.DUMMYFUNCTION("""COMPUTED_VALUE"""),0.9027546296296296)</f>
        <v>0.9027546296</v>
      </c>
    </row>
    <row r="398">
      <c r="A398" s="2">
        <v>5.37</v>
      </c>
      <c r="B398" s="2">
        <v>230.4</v>
      </c>
      <c r="C398" s="2">
        <v>815.5</v>
      </c>
      <c r="D398" s="2">
        <v>5.55</v>
      </c>
      <c r="E398" s="2">
        <v>0.66</v>
      </c>
      <c r="F398" s="2">
        <v>50.0</v>
      </c>
      <c r="G398" s="3">
        <v>44462.902881076385</v>
      </c>
      <c r="H398" s="5">
        <f>IFERROR(__xludf.DUMMYFUNCTION("SPLIT(G398,"","")"),44462.0)</f>
        <v>44462</v>
      </c>
      <c r="I398" s="6">
        <f>IFERROR(__xludf.DUMMYFUNCTION("""COMPUTED_VALUE"""),0.9028819444444445)</f>
        <v>0.9028819444</v>
      </c>
    </row>
    <row r="399">
      <c r="A399" s="2">
        <v>5.36</v>
      </c>
      <c r="B399" s="2">
        <v>230.4</v>
      </c>
      <c r="C399" s="2">
        <v>815.6</v>
      </c>
      <c r="D399" s="2">
        <v>5.55</v>
      </c>
      <c r="E399" s="2">
        <v>0.66</v>
      </c>
      <c r="F399" s="2">
        <v>50.0</v>
      </c>
      <c r="G399" s="3">
        <v>44462.902989027774</v>
      </c>
      <c r="H399" s="5">
        <f>IFERROR(__xludf.DUMMYFUNCTION("SPLIT(G399,"","")"),44462.0)</f>
        <v>44462</v>
      </c>
      <c r="I399" s="6">
        <f>IFERROR(__xludf.DUMMYFUNCTION("""COMPUTED_VALUE"""),0.9029861111111112)</f>
        <v>0.9029861111</v>
      </c>
    </row>
    <row r="400">
      <c r="A400" s="2">
        <v>5.37</v>
      </c>
      <c r="B400" s="2">
        <v>230.3</v>
      </c>
      <c r="C400" s="2">
        <v>815.9</v>
      </c>
      <c r="D400" s="2">
        <v>5.55</v>
      </c>
      <c r="E400" s="2">
        <v>0.66</v>
      </c>
      <c r="F400" s="2">
        <v>50.0</v>
      </c>
      <c r="G400" s="3">
        <v>44462.90309248843</v>
      </c>
      <c r="H400" s="5">
        <f>IFERROR(__xludf.DUMMYFUNCTION("SPLIT(G400,"","")"),44462.0)</f>
        <v>44462</v>
      </c>
      <c r="I400" s="6">
        <f>IFERROR(__xludf.DUMMYFUNCTION("""COMPUTED_VALUE"""),0.9030902777777777)</f>
        <v>0.9030902778</v>
      </c>
    </row>
    <row r="401">
      <c r="A401" s="2">
        <v>5.36</v>
      </c>
      <c r="B401" s="2">
        <v>230.5</v>
      </c>
      <c r="C401" s="2">
        <v>815.9</v>
      </c>
      <c r="D401" s="2">
        <v>5.55</v>
      </c>
      <c r="E401" s="2">
        <v>0.66</v>
      </c>
      <c r="F401" s="2">
        <v>50.0</v>
      </c>
      <c r="G401" s="3">
        <v>44462.903190763886</v>
      </c>
      <c r="H401" s="5">
        <f>IFERROR(__xludf.DUMMYFUNCTION("SPLIT(G401,"","")"),44462.0)</f>
        <v>44462</v>
      </c>
      <c r="I401" s="6">
        <f>IFERROR(__xludf.DUMMYFUNCTION("""COMPUTED_VALUE"""),0.9031944444444444)</f>
        <v>0.9031944444</v>
      </c>
    </row>
    <row r="402">
      <c r="A402" s="2">
        <v>5.37</v>
      </c>
      <c r="B402" s="2">
        <v>230.3</v>
      </c>
      <c r="C402" s="2">
        <v>816.1</v>
      </c>
      <c r="D402" s="2">
        <v>5.56</v>
      </c>
      <c r="E402" s="2">
        <v>0.66</v>
      </c>
      <c r="F402" s="2">
        <v>50.0</v>
      </c>
      <c r="G402" s="3">
        <v>44462.90329466436</v>
      </c>
      <c r="H402" s="5">
        <f>IFERROR(__xludf.DUMMYFUNCTION("SPLIT(G402,"","")"),44462.0)</f>
        <v>44462</v>
      </c>
      <c r="I402" s="6">
        <f>IFERROR(__xludf.DUMMYFUNCTION("""COMPUTED_VALUE"""),0.9032986111111111)</f>
        <v>0.9032986111</v>
      </c>
    </row>
    <row r="403">
      <c r="A403" s="2">
        <v>5.36</v>
      </c>
      <c r="B403" s="2">
        <v>230.4</v>
      </c>
      <c r="C403" s="2">
        <v>816.1</v>
      </c>
      <c r="D403" s="2">
        <v>5.56</v>
      </c>
      <c r="E403" s="2">
        <v>0.66</v>
      </c>
      <c r="F403" s="2">
        <v>50.0</v>
      </c>
      <c r="G403" s="3">
        <v>44462.90339710648</v>
      </c>
      <c r="H403" s="5">
        <f>IFERROR(__xludf.DUMMYFUNCTION("SPLIT(G403,"","")"),44462.0)</f>
        <v>44462</v>
      </c>
      <c r="I403" s="6">
        <f>IFERROR(__xludf.DUMMYFUNCTION("""COMPUTED_VALUE"""),0.9034027777777778)</f>
        <v>0.9034027778</v>
      </c>
    </row>
    <row r="404">
      <c r="A404" s="2">
        <v>5.36</v>
      </c>
      <c r="B404" s="2">
        <v>230.5</v>
      </c>
      <c r="C404" s="2">
        <v>816.4</v>
      </c>
      <c r="D404" s="2">
        <v>5.56</v>
      </c>
      <c r="E404" s="2">
        <v>0.66</v>
      </c>
      <c r="F404" s="2">
        <v>50.0</v>
      </c>
      <c r="G404" s="3">
        <v>44462.90349696759</v>
      </c>
      <c r="H404" s="5">
        <f>IFERROR(__xludf.DUMMYFUNCTION("SPLIT(G404,"","")"),44462.0)</f>
        <v>44462</v>
      </c>
      <c r="I404" s="6">
        <f>IFERROR(__xludf.DUMMYFUNCTION("""COMPUTED_VALUE"""),0.9034953703703704)</f>
        <v>0.9034953704</v>
      </c>
    </row>
    <row r="405">
      <c r="A405" s="2">
        <v>5.38</v>
      </c>
      <c r="B405" s="2">
        <v>230.3</v>
      </c>
      <c r="C405" s="2">
        <v>816.5</v>
      </c>
      <c r="D405" s="2">
        <v>5.56</v>
      </c>
      <c r="E405" s="2">
        <v>0.66</v>
      </c>
      <c r="F405" s="2">
        <v>50.0</v>
      </c>
      <c r="G405" s="3">
        <v>44462.90359731481</v>
      </c>
      <c r="H405" s="5">
        <f>IFERROR(__xludf.DUMMYFUNCTION("SPLIT(G405,"","")"),44462.0)</f>
        <v>44462</v>
      </c>
      <c r="I405" s="6">
        <f>IFERROR(__xludf.DUMMYFUNCTION("""COMPUTED_VALUE"""),0.903599537037037)</f>
        <v>0.903599537</v>
      </c>
    </row>
    <row r="406">
      <c r="A406" s="2">
        <v>5.37</v>
      </c>
      <c r="B406" s="2">
        <v>230.4</v>
      </c>
      <c r="C406" s="2">
        <v>816.4</v>
      </c>
      <c r="D406" s="2">
        <v>5.56</v>
      </c>
      <c r="E406" s="2">
        <v>0.66</v>
      </c>
      <c r="F406" s="2">
        <v>50.0</v>
      </c>
      <c r="G406" s="3">
        <v>44462.90370097222</v>
      </c>
      <c r="H406" s="5">
        <f>IFERROR(__xludf.DUMMYFUNCTION("SPLIT(G406,"","")"),44462.0)</f>
        <v>44462</v>
      </c>
      <c r="I406" s="6">
        <f>IFERROR(__xludf.DUMMYFUNCTION("""COMPUTED_VALUE"""),0.9037037037037037)</f>
        <v>0.9037037037</v>
      </c>
    </row>
    <row r="407">
      <c r="A407" s="2">
        <v>5.38</v>
      </c>
      <c r="B407" s="2">
        <v>230.2</v>
      </c>
      <c r="C407" s="2">
        <v>816.6</v>
      </c>
      <c r="D407" s="2">
        <v>5.57</v>
      </c>
      <c r="E407" s="2">
        <v>0.66</v>
      </c>
      <c r="F407" s="2">
        <v>50.0</v>
      </c>
      <c r="G407" s="3">
        <v>44462.903809131945</v>
      </c>
      <c r="H407" s="5">
        <f>IFERROR(__xludf.DUMMYFUNCTION("SPLIT(G407,"","")"),44462.0)</f>
        <v>44462</v>
      </c>
      <c r="I407" s="6">
        <f>IFERROR(__xludf.DUMMYFUNCTION("""COMPUTED_VALUE"""),0.9038078703703704)</f>
        <v>0.9038078704</v>
      </c>
    </row>
    <row r="408">
      <c r="A408" s="2">
        <v>5.37</v>
      </c>
      <c r="B408" s="2">
        <v>230.2</v>
      </c>
      <c r="C408" s="2">
        <v>816.8</v>
      </c>
      <c r="D408" s="2">
        <v>5.57</v>
      </c>
      <c r="E408" s="2">
        <v>0.66</v>
      </c>
      <c r="F408" s="2">
        <v>50.0</v>
      </c>
      <c r="G408" s="3">
        <v>44462.90391125</v>
      </c>
      <c r="H408" s="5">
        <f>IFERROR(__xludf.DUMMYFUNCTION("SPLIT(G408,"","")"),44462.0)</f>
        <v>44462</v>
      </c>
      <c r="I408" s="6">
        <f>IFERROR(__xludf.DUMMYFUNCTION("""COMPUTED_VALUE"""),0.903912037037037)</f>
        <v>0.903912037</v>
      </c>
    </row>
    <row r="409">
      <c r="A409" s="2">
        <v>5.39</v>
      </c>
      <c r="B409" s="2">
        <v>229.8</v>
      </c>
      <c r="C409" s="2">
        <v>816.9</v>
      </c>
      <c r="D409" s="2">
        <v>5.57</v>
      </c>
      <c r="E409" s="2">
        <v>0.66</v>
      </c>
      <c r="F409" s="2">
        <v>49.9</v>
      </c>
      <c r="G409" s="3">
        <v>44462.90401034722</v>
      </c>
      <c r="H409" s="5">
        <f>IFERROR(__xludf.DUMMYFUNCTION("SPLIT(G409,"","")"),44462.0)</f>
        <v>44462</v>
      </c>
      <c r="I409" s="6">
        <f>IFERROR(__xludf.DUMMYFUNCTION("""COMPUTED_VALUE"""),0.9040046296296296)</f>
        <v>0.9040046296</v>
      </c>
    </row>
    <row r="410">
      <c r="A410" s="2">
        <v>5.39</v>
      </c>
      <c r="B410" s="2">
        <v>229.8</v>
      </c>
      <c r="C410" s="2">
        <v>816.9</v>
      </c>
      <c r="D410" s="2">
        <v>5.57</v>
      </c>
      <c r="E410" s="2">
        <v>0.66</v>
      </c>
      <c r="F410" s="2">
        <v>49.9</v>
      </c>
      <c r="G410" s="3">
        <v>44462.90411258102</v>
      </c>
      <c r="H410" s="5">
        <f>IFERROR(__xludf.DUMMYFUNCTION("SPLIT(G410,"","")"),44462.0)</f>
        <v>44462</v>
      </c>
      <c r="I410" s="6">
        <f>IFERROR(__xludf.DUMMYFUNCTION("""COMPUTED_VALUE"""),0.9041087962962963)</f>
        <v>0.9041087963</v>
      </c>
    </row>
    <row r="411">
      <c r="A411" s="2">
        <v>5.39</v>
      </c>
      <c r="B411" s="2">
        <v>229.7</v>
      </c>
      <c r="C411" s="2">
        <v>817.2</v>
      </c>
      <c r="D411" s="2">
        <v>5.57</v>
      </c>
      <c r="E411" s="2">
        <v>0.66</v>
      </c>
      <c r="F411" s="2">
        <v>49.9</v>
      </c>
      <c r="G411" s="3">
        <v>44462.904236875</v>
      </c>
      <c r="H411" s="5">
        <f>IFERROR(__xludf.DUMMYFUNCTION("SPLIT(G411,"","")"),44462.0)</f>
        <v>44462</v>
      </c>
      <c r="I411" s="6">
        <f>IFERROR(__xludf.DUMMYFUNCTION("""COMPUTED_VALUE"""),0.9042361111111111)</f>
        <v>0.9042361111</v>
      </c>
    </row>
    <row r="412">
      <c r="A412" s="2">
        <v>5.38</v>
      </c>
      <c r="B412" s="2">
        <v>230.4</v>
      </c>
      <c r="C412" s="2">
        <v>817.6</v>
      </c>
      <c r="D412" s="2">
        <v>5.58</v>
      </c>
      <c r="E412" s="2">
        <v>0.66</v>
      </c>
      <c r="F412" s="2">
        <v>50.0</v>
      </c>
      <c r="G412" s="3">
        <v>44462.90433866898</v>
      </c>
      <c r="H412" s="5">
        <f>IFERROR(__xludf.DUMMYFUNCTION("SPLIT(G412,"","")"),44462.0)</f>
        <v>44462</v>
      </c>
      <c r="I412" s="6">
        <f>IFERROR(__xludf.DUMMYFUNCTION("""COMPUTED_VALUE"""),0.9043402777777778)</f>
        <v>0.9043402778</v>
      </c>
    </row>
    <row r="413">
      <c r="A413" s="2">
        <v>5.35</v>
      </c>
      <c r="B413" s="2">
        <v>231.0</v>
      </c>
      <c r="C413" s="2">
        <v>817.6</v>
      </c>
      <c r="D413" s="2">
        <v>5.58</v>
      </c>
      <c r="E413" s="2">
        <v>0.66</v>
      </c>
      <c r="F413" s="2">
        <v>50.0</v>
      </c>
      <c r="G413" s="3">
        <v>44462.904439942125</v>
      </c>
      <c r="H413" s="5">
        <f>IFERROR(__xludf.DUMMYFUNCTION("SPLIT(G413,"","")"),44462.0)</f>
        <v>44462</v>
      </c>
      <c r="I413" s="6">
        <f>IFERROR(__xludf.DUMMYFUNCTION("""COMPUTED_VALUE"""),0.9044444444444445)</f>
        <v>0.9044444444</v>
      </c>
    </row>
    <row r="414">
      <c r="A414" s="2">
        <v>5.34</v>
      </c>
      <c r="B414" s="2">
        <v>231.1</v>
      </c>
      <c r="C414" s="2">
        <v>817.7</v>
      </c>
      <c r="D414" s="2">
        <v>5.58</v>
      </c>
      <c r="E414" s="2">
        <v>0.66</v>
      </c>
      <c r="F414" s="2">
        <v>50.0</v>
      </c>
      <c r="G414" s="3">
        <v>44462.90454150463</v>
      </c>
      <c r="H414" s="5">
        <f>IFERROR(__xludf.DUMMYFUNCTION("SPLIT(G414,"","")"),44462.0)</f>
        <v>44462</v>
      </c>
      <c r="I414" s="6">
        <f>IFERROR(__xludf.DUMMYFUNCTION("""COMPUTED_VALUE"""),0.904537037037037)</f>
        <v>0.904537037</v>
      </c>
    </row>
    <row r="415">
      <c r="A415" s="2">
        <v>5.35</v>
      </c>
      <c r="B415" s="2">
        <v>231.0</v>
      </c>
      <c r="C415" s="2">
        <v>817.7</v>
      </c>
      <c r="D415" s="2">
        <v>5.58</v>
      </c>
      <c r="E415" s="2">
        <v>0.66</v>
      </c>
      <c r="F415" s="2">
        <v>50.0</v>
      </c>
      <c r="G415" s="3">
        <v>44462.9046456713</v>
      </c>
      <c r="H415" s="5">
        <f>IFERROR(__xludf.DUMMYFUNCTION("SPLIT(G415,"","")"),44462.0)</f>
        <v>44462</v>
      </c>
      <c r="I415" s="6">
        <f>IFERROR(__xludf.DUMMYFUNCTION("""COMPUTED_VALUE"""),0.9046412037037037)</f>
        <v>0.9046412037</v>
      </c>
    </row>
    <row r="416">
      <c r="A416" s="2">
        <v>5.35</v>
      </c>
      <c r="B416" s="2">
        <v>231.2</v>
      </c>
      <c r="C416" s="2">
        <v>817.9</v>
      </c>
      <c r="D416" s="2">
        <v>5.59</v>
      </c>
      <c r="E416" s="2">
        <v>0.66</v>
      </c>
      <c r="F416" s="2">
        <v>50.0</v>
      </c>
      <c r="G416" s="3">
        <v>44462.904751504626</v>
      </c>
      <c r="H416" s="5">
        <f>IFERROR(__xludf.DUMMYFUNCTION("SPLIT(G416,"","")"),44462.0)</f>
        <v>44462</v>
      </c>
      <c r="I416" s="6">
        <f>IFERROR(__xludf.DUMMYFUNCTION("""COMPUTED_VALUE"""),0.9047569444444444)</f>
        <v>0.9047569444</v>
      </c>
    </row>
    <row r="417">
      <c r="A417" s="2">
        <v>5.36</v>
      </c>
      <c r="B417" s="2">
        <v>231.0</v>
      </c>
      <c r="C417" s="2">
        <v>818.0</v>
      </c>
      <c r="D417" s="2">
        <v>5.59</v>
      </c>
      <c r="E417" s="2">
        <v>0.66</v>
      </c>
      <c r="F417" s="2">
        <v>50.0</v>
      </c>
      <c r="G417" s="3">
        <v>44462.90485212963</v>
      </c>
      <c r="H417" s="5">
        <f>IFERROR(__xludf.DUMMYFUNCTION("SPLIT(G417,"","")"),44462.0)</f>
        <v>44462</v>
      </c>
      <c r="I417" s="6">
        <f>IFERROR(__xludf.DUMMYFUNCTION("""COMPUTED_VALUE"""),0.9048495370370371)</f>
        <v>0.904849537</v>
      </c>
    </row>
    <row r="418">
      <c r="A418" s="2">
        <v>5.36</v>
      </c>
      <c r="B418" s="2">
        <v>231.2</v>
      </c>
      <c r="C418" s="2">
        <v>818.1</v>
      </c>
      <c r="D418" s="2">
        <v>5.59</v>
      </c>
      <c r="E418" s="2">
        <v>0.66</v>
      </c>
      <c r="F418" s="2">
        <v>50.0</v>
      </c>
      <c r="G418" s="3">
        <v>44462.90495109954</v>
      </c>
      <c r="H418" s="5">
        <f>IFERROR(__xludf.DUMMYFUNCTION("SPLIT(G418,"","")"),44462.0)</f>
        <v>44462</v>
      </c>
      <c r="I418" s="6">
        <f>IFERROR(__xludf.DUMMYFUNCTION("""COMPUTED_VALUE"""),0.9049537037037036)</f>
        <v>0.9049537037</v>
      </c>
    </row>
    <row r="419">
      <c r="A419" s="2">
        <v>5.36</v>
      </c>
      <c r="B419" s="2">
        <v>231.3</v>
      </c>
      <c r="C419" s="2">
        <v>818.2</v>
      </c>
      <c r="D419" s="2">
        <v>5.59</v>
      </c>
      <c r="E419" s="2">
        <v>0.66</v>
      </c>
      <c r="F419" s="2">
        <v>50.0</v>
      </c>
      <c r="G419" s="3">
        <v>44462.90505666667</v>
      </c>
      <c r="H419" s="5">
        <f>IFERROR(__xludf.DUMMYFUNCTION("SPLIT(G419,"","")"),44462.0)</f>
        <v>44462</v>
      </c>
      <c r="I419" s="6">
        <f>IFERROR(__xludf.DUMMYFUNCTION("""COMPUTED_VALUE"""),0.9050578703703703)</f>
        <v>0.9050578704</v>
      </c>
    </row>
    <row r="420">
      <c r="A420" s="2">
        <v>5.36</v>
      </c>
      <c r="B420" s="2">
        <v>231.3</v>
      </c>
      <c r="C420" s="2">
        <v>818.4</v>
      </c>
      <c r="D420" s="2">
        <v>5.59</v>
      </c>
      <c r="E420" s="2">
        <v>0.66</v>
      </c>
      <c r="F420" s="2">
        <v>50.0</v>
      </c>
      <c r="G420" s="3">
        <v>44462.90515929398</v>
      </c>
      <c r="H420" s="5">
        <f>IFERROR(__xludf.DUMMYFUNCTION("SPLIT(G420,"","")"),44462.0)</f>
        <v>44462</v>
      </c>
      <c r="I420" s="6">
        <f>IFERROR(__xludf.DUMMYFUNCTION("""COMPUTED_VALUE"""),0.905162037037037)</f>
        <v>0.905162037</v>
      </c>
    </row>
    <row r="421">
      <c r="A421" s="2">
        <v>5.36</v>
      </c>
      <c r="B421" s="2">
        <v>231.1</v>
      </c>
      <c r="C421" s="2">
        <v>818.5</v>
      </c>
      <c r="D421" s="2">
        <v>5.59</v>
      </c>
      <c r="E421" s="2">
        <v>0.66</v>
      </c>
      <c r="F421" s="2">
        <v>50.0</v>
      </c>
      <c r="G421" s="3">
        <v>44462.90526608797</v>
      </c>
      <c r="H421" s="5">
        <f>IFERROR(__xludf.DUMMYFUNCTION("SPLIT(G421,"","")"),44462.0)</f>
        <v>44462</v>
      </c>
      <c r="I421" s="6">
        <f>IFERROR(__xludf.DUMMYFUNCTION("""COMPUTED_VALUE"""),0.9052662037037037)</f>
        <v>0.9052662037</v>
      </c>
    </row>
    <row r="422">
      <c r="A422" s="2">
        <v>5.36</v>
      </c>
      <c r="B422" s="2">
        <v>231.2</v>
      </c>
      <c r="C422" s="2">
        <v>818.6</v>
      </c>
      <c r="D422" s="2">
        <v>5.6</v>
      </c>
      <c r="E422" s="2">
        <v>0.66</v>
      </c>
      <c r="F422" s="2">
        <v>50.0</v>
      </c>
      <c r="G422" s="3">
        <v>44462.90537444444</v>
      </c>
      <c r="H422" s="5">
        <f>IFERROR(__xludf.DUMMYFUNCTION("SPLIT(G422,"","")"),44462.0)</f>
        <v>44462</v>
      </c>
      <c r="I422" s="6">
        <f>IFERROR(__xludf.DUMMYFUNCTION("""COMPUTED_VALUE"""),0.9053703703703704)</f>
        <v>0.9053703704</v>
      </c>
    </row>
    <row r="423">
      <c r="A423" s="2">
        <v>5.42</v>
      </c>
      <c r="B423" s="2">
        <v>230.3</v>
      </c>
      <c r="C423" s="2">
        <v>818.8</v>
      </c>
      <c r="D423" s="2">
        <v>5.6</v>
      </c>
      <c r="E423" s="2">
        <v>0.66</v>
      </c>
      <c r="F423" s="2">
        <v>50.0</v>
      </c>
      <c r="G423" s="3">
        <v>44462.905483090275</v>
      </c>
      <c r="H423" s="5">
        <f>IFERROR(__xludf.DUMMYFUNCTION("SPLIT(G423,"","")"),44462.0)</f>
        <v>44462</v>
      </c>
      <c r="I423" s="6">
        <f>IFERROR(__xludf.DUMMYFUNCTION("""COMPUTED_VALUE"""),0.9054861111111111)</f>
        <v>0.9054861111</v>
      </c>
    </row>
    <row r="424">
      <c r="A424" s="2">
        <v>5.42</v>
      </c>
      <c r="B424" s="2">
        <v>230.3</v>
      </c>
      <c r="C424" s="2">
        <v>818.8</v>
      </c>
      <c r="D424" s="2">
        <v>5.6</v>
      </c>
      <c r="E424" s="2">
        <v>0.66</v>
      </c>
      <c r="F424" s="2">
        <v>50.0</v>
      </c>
      <c r="G424" s="3">
        <v>44462.90558939815</v>
      </c>
      <c r="H424" s="5">
        <f>IFERROR(__xludf.DUMMYFUNCTION("SPLIT(G424,"","")"),44462.0)</f>
        <v>44462</v>
      </c>
      <c r="I424" s="6">
        <f>IFERROR(__xludf.DUMMYFUNCTION("""COMPUTED_VALUE"""),0.9055902777777778)</f>
        <v>0.9055902778</v>
      </c>
    </row>
    <row r="425">
      <c r="A425" s="2">
        <v>5.42</v>
      </c>
      <c r="B425" s="2">
        <v>230.2</v>
      </c>
      <c r="C425" s="2">
        <v>819.0</v>
      </c>
      <c r="D425" s="2">
        <v>5.6</v>
      </c>
      <c r="E425" s="2">
        <v>0.66</v>
      </c>
      <c r="F425" s="2">
        <v>50.0</v>
      </c>
      <c r="G425" s="3">
        <v>44462.90569184028</v>
      </c>
      <c r="H425" s="5">
        <f>IFERROR(__xludf.DUMMYFUNCTION("SPLIT(G425,"","")"),44462.0)</f>
        <v>44462</v>
      </c>
      <c r="I425" s="6">
        <f>IFERROR(__xludf.DUMMYFUNCTION("""COMPUTED_VALUE"""),0.9056944444444445)</f>
        <v>0.9056944444</v>
      </c>
    </row>
    <row r="426">
      <c r="A426" s="2">
        <v>5.42</v>
      </c>
      <c r="B426" s="2">
        <v>230.1</v>
      </c>
      <c r="C426" s="2">
        <v>819.3</v>
      </c>
      <c r="D426" s="2">
        <v>5.61</v>
      </c>
      <c r="E426" s="2">
        <v>0.66</v>
      </c>
      <c r="F426" s="2">
        <v>50.0</v>
      </c>
      <c r="G426" s="3">
        <v>44462.905795011575</v>
      </c>
      <c r="H426" s="5">
        <f>IFERROR(__xludf.DUMMYFUNCTION("SPLIT(G426,"","")"),44462.0)</f>
        <v>44462</v>
      </c>
      <c r="I426" s="6">
        <f>IFERROR(__xludf.DUMMYFUNCTION("""COMPUTED_VALUE"""),0.9057986111111112)</f>
        <v>0.9057986111</v>
      </c>
    </row>
    <row r="427">
      <c r="A427" s="2">
        <v>5.42</v>
      </c>
      <c r="B427" s="2">
        <v>230.2</v>
      </c>
      <c r="C427" s="2">
        <v>819.3</v>
      </c>
      <c r="D427" s="2">
        <v>5.61</v>
      </c>
      <c r="E427" s="2">
        <v>0.66</v>
      </c>
      <c r="F427" s="2">
        <v>50.0</v>
      </c>
      <c r="G427" s="3">
        <v>44462.90589971065</v>
      </c>
      <c r="H427" s="5">
        <f>IFERROR(__xludf.DUMMYFUNCTION("SPLIT(G427,"","")"),44462.0)</f>
        <v>44462</v>
      </c>
      <c r="I427" s="6">
        <f>IFERROR(__xludf.DUMMYFUNCTION("""COMPUTED_VALUE"""),0.9059027777777777)</f>
        <v>0.9059027778</v>
      </c>
    </row>
    <row r="428">
      <c r="A428" s="2">
        <v>5.42</v>
      </c>
      <c r="B428" s="2">
        <v>230.2</v>
      </c>
      <c r="C428" s="2">
        <v>819.5</v>
      </c>
      <c r="D428" s="2">
        <v>5.61</v>
      </c>
      <c r="E428" s="2">
        <v>0.66</v>
      </c>
      <c r="F428" s="2">
        <v>50.0</v>
      </c>
      <c r="G428" s="3">
        <v>44462.90600038195</v>
      </c>
      <c r="H428" s="5">
        <f>IFERROR(__xludf.DUMMYFUNCTION("SPLIT(G428,"","")"),44462.0)</f>
        <v>44462</v>
      </c>
      <c r="I428" s="6">
        <f>IFERROR(__xludf.DUMMYFUNCTION("""COMPUTED_VALUE"""),0.9059953703703704)</f>
        <v>0.9059953704</v>
      </c>
    </row>
    <row r="429">
      <c r="A429" s="2">
        <v>5.42</v>
      </c>
      <c r="B429" s="2">
        <v>230.2</v>
      </c>
      <c r="C429" s="2">
        <v>819.6</v>
      </c>
      <c r="D429" s="2">
        <v>5.61</v>
      </c>
      <c r="E429" s="2">
        <v>0.66</v>
      </c>
      <c r="F429" s="2">
        <v>50.0</v>
      </c>
      <c r="G429" s="3">
        <v>44462.90610361111</v>
      </c>
      <c r="H429" s="5">
        <f>IFERROR(__xludf.DUMMYFUNCTION("SPLIT(G429,"","")"),44462.0)</f>
        <v>44462</v>
      </c>
      <c r="I429" s="6">
        <f>IFERROR(__xludf.DUMMYFUNCTION("""COMPUTED_VALUE"""),0.906099537037037)</f>
        <v>0.906099537</v>
      </c>
    </row>
    <row r="430">
      <c r="A430" s="2">
        <v>5.42</v>
      </c>
      <c r="B430" s="2">
        <v>230.2</v>
      </c>
      <c r="C430" s="2">
        <v>819.8</v>
      </c>
      <c r="D430" s="2">
        <v>5.61</v>
      </c>
      <c r="E430" s="2">
        <v>0.66</v>
      </c>
      <c r="F430" s="2">
        <v>50.0</v>
      </c>
      <c r="G430" s="3">
        <v>44462.9062071875</v>
      </c>
      <c r="H430" s="5">
        <f>IFERROR(__xludf.DUMMYFUNCTION("SPLIT(G430,"","")"),44462.0)</f>
        <v>44462</v>
      </c>
      <c r="I430" s="6">
        <f>IFERROR(__xludf.DUMMYFUNCTION("""COMPUTED_VALUE"""),0.9062037037037037)</f>
        <v>0.9062037037</v>
      </c>
    </row>
    <row r="431">
      <c r="A431" s="2">
        <v>5.41</v>
      </c>
      <c r="B431" s="2">
        <v>230.5</v>
      </c>
      <c r="C431" s="2">
        <v>820.0</v>
      </c>
      <c r="D431" s="2">
        <v>5.61</v>
      </c>
      <c r="E431" s="2">
        <v>0.66</v>
      </c>
      <c r="F431" s="2">
        <v>50.0</v>
      </c>
      <c r="G431" s="3">
        <v>44462.90631178241</v>
      </c>
      <c r="H431" s="5">
        <f>IFERROR(__xludf.DUMMYFUNCTION("SPLIT(G431,"","")"),44462.0)</f>
        <v>44462</v>
      </c>
      <c r="I431" s="6">
        <f>IFERROR(__xludf.DUMMYFUNCTION("""COMPUTED_VALUE"""),0.9063078703703704)</f>
        <v>0.9063078704</v>
      </c>
    </row>
    <row r="432">
      <c r="A432" s="2">
        <v>5.4</v>
      </c>
      <c r="B432" s="2">
        <v>230.5</v>
      </c>
      <c r="C432" s="2">
        <v>820.0</v>
      </c>
      <c r="D432" s="2">
        <v>5.62</v>
      </c>
      <c r="E432" s="2">
        <v>0.66</v>
      </c>
      <c r="F432" s="2">
        <v>50.0</v>
      </c>
      <c r="G432" s="3">
        <v>44462.90641298611</v>
      </c>
      <c r="H432" s="5">
        <f>IFERROR(__xludf.DUMMYFUNCTION("SPLIT(G432,"","")"),44462.0)</f>
        <v>44462</v>
      </c>
      <c r="I432" s="6">
        <f>IFERROR(__xludf.DUMMYFUNCTION("""COMPUTED_VALUE"""),0.906412037037037)</f>
        <v>0.906412037</v>
      </c>
    </row>
    <row r="433">
      <c r="A433" s="2">
        <v>5.41</v>
      </c>
      <c r="B433" s="2">
        <v>230.5</v>
      </c>
      <c r="C433" s="2">
        <v>820.2</v>
      </c>
      <c r="D433" s="2">
        <v>5.62</v>
      </c>
      <c r="E433" s="2">
        <v>0.66</v>
      </c>
      <c r="F433" s="2">
        <v>50.0</v>
      </c>
      <c r="G433" s="3">
        <v>44462.9065166088</v>
      </c>
      <c r="H433" s="5">
        <f>IFERROR(__xludf.DUMMYFUNCTION("SPLIT(G433,"","")"),44462.0)</f>
        <v>44462</v>
      </c>
      <c r="I433" s="6">
        <f>IFERROR(__xludf.DUMMYFUNCTION("""COMPUTED_VALUE"""),0.9065162037037037)</f>
        <v>0.9065162037</v>
      </c>
    </row>
    <row r="434">
      <c r="A434" s="2">
        <v>5.45</v>
      </c>
      <c r="B434" s="2">
        <v>229.4</v>
      </c>
      <c r="C434" s="2">
        <v>820.2</v>
      </c>
      <c r="D434" s="2">
        <v>5.62</v>
      </c>
      <c r="E434" s="2">
        <v>0.66</v>
      </c>
      <c r="F434" s="2">
        <v>50.0</v>
      </c>
      <c r="G434" s="3">
        <v>44462.90661665509</v>
      </c>
      <c r="H434" s="5">
        <f>IFERROR(__xludf.DUMMYFUNCTION("SPLIT(G434,"","")"),44462.0)</f>
        <v>44462</v>
      </c>
      <c r="I434" s="6">
        <f>IFERROR(__xludf.DUMMYFUNCTION("""COMPUTED_VALUE"""),0.9066203703703704)</f>
        <v>0.9066203704</v>
      </c>
    </row>
    <row r="435">
      <c r="A435" s="2">
        <v>5.45</v>
      </c>
      <c r="B435" s="2">
        <v>229.5</v>
      </c>
      <c r="C435" s="2">
        <v>820.3</v>
      </c>
      <c r="D435" s="2">
        <v>5.62</v>
      </c>
      <c r="E435" s="2">
        <v>0.66</v>
      </c>
      <c r="F435" s="2">
        <v>50.0</v>
      </c>
      <c r="G435" s="3">
        <v>44462.906716770834</v>
      </c>
      <c r="H435" s="5">
        <f>IFERROR(__xludf.DUMMYFUNCTION("SPLIT(G435,"","")"),44462.0)</f>
        <v>44462</v>
      </c>
      <c r="I435" s="6">
        <f>IFERROR(__xludf.DUMMYFUNCTION("""COMPUTED_VALUE"""),0.906712962962963)</f>
        <v>0.906712963</v>
      </c>
    </row>
    <row r="436">
      <c r="A436" s="2">
        <v>5.45</v>
      </c>
      <c r="B436" s="2">
        <v>229.6</v>
      </c>
      <c r="C436" s="2">
        <v>820.4</v>
      </c>
      <c r="D436" s="2">
        <v>5.63</v>
      </c>
      <c r="E436" s="2">
        <v>0.66</v>
      </c>
      <c r="F436" s="2">
        <v>50.0</v>
      </c>
      <c r="G436" s="3">
        <v>44462.906816828705</v>
      </c>
      <c r="H436" s="5">
        <f>IFERROR(__xludf.DUMMYFUNCTION("SPLIT(G436,"","")"),44462.0)</f>
        <v>44462</v>
      </c>
      <c r="I436" s="6">
        <f>IFERROR(__xludf.DUMMYFUNCTION("""COMPUTED_VALUE"""),0.9068171296296297)</f>
        <v>0.9068171296</v>
      </c>
    </row>
    <row r="437">
      <c r="A437" s="2">
        <v>5.45</v>
      </c>
      <c r="B437" s="2">
        <v>229.6</v>
      </c>
      <c r="C437" s="2">
        <v>820.6</v>
      </c>
      <c r="D437" s="2">
        <v>5.63</v>
      </c>
      <c r="E437" s="2">
        <v>0.66</v>
      </c>
      <c r="F437" s="2">
        <v>50.0</v>
      </c>
      <c r="G437" s="3">
        <v>44462.906922650465</v>
      </c>
      <c r="H437" s="5">
        <f>IFERROR(__xludf.DUMMYFUNCTION("SPLIT(G437,"","")"),44462.0)</f>
        <v>44462</v>
      </c>
      <c r="I437" s="6">
        <f>IFERROR(__xludf.DUMMYFUNCTION("""COMPUTED_VALUE"""),0.9069212962962963)</f>
        <v>0.9069212963</v>
      </c>
    </row>
    <row r="438">
      <c r="A438" s="2">
        <v>5.46</v>
      </c>
      <c r="B438" s="2">
        <v>229.6</v>
      </c>
      <c r="C438" s="2">
        <v>820.8</v>
      </c>
      <c r="D438" s="2">
        <v>5.63</v>
      </c>
      <c r="E438" s="2">
        <v>0.65</v>
      </c>
      <c r="F438" s="2">
        <v>50.0</v>
      </c>
      <c r="G438" s="3">
        <v>44462.907032372685</v>
      </c>
      <c r="H438" s="5">
        <f>IFERROR(__xludf.DUMMYFUNCTION("SPLIT(G438,"","")"),44462.0)</f>
        <v>44462</v>
      </c>
      <c r="I438" s="6">
        <f>IFERROR(__xludf.DUMMYFUNCTION("""COMPUTED_VALUE"""),0.9070370370370371)</f>
        <v>0.907037037</v>
      </c>
    </row>
    <row r="439">
      <c r="A439" s="2">
        <v>5.46</v>
      </c>
      <c r="B439" s="2">
        <v>229.6</v>
      </c>
      <c r="C439" s="2">
        <v>820.9</v>
      </c>
      <c r="D439" s="2">
        <v>5.63</v>
      </c>
      <c r="E439" s="2">
        <v>0.65</v>
      </c>
      <c r="F439" s="2">
        <v>50.0</v>
      </c>
      <c r="G439" s="3">
        <v>44462.90714207176</v>
      </c>
      <c r="H439" s="5">
        <f>IFERROR(__xludf.DUMMYFUNCTION("SPLIT(G439,"","")"),44462.0)</f>
        <v>44462</v>
      </c>
      <c r="I439" s="6">
        <f>IFERROR(__xludf.DUMMYFUNCTION("""COMPUTED_VALUE"""),0.9071412037037037)</f>
        <v>0.9071412037</v>
      </c>
    </row>
    <row r="440">
      <c r="A440" s="2">
        <v>5.47</v>
      </c>
      <c r="B440" s="2">
        <v>229.5</v>
      </c>
      <c r="C440" s="2">
        <v>821.0</v>
      </c>
      <c r="D440" s="2">
        <v>5.63</v>
      </c>
      <c r="E440" s="2">
        <v>0.65</v>
      </c>
      <c r="F440" s="2">
        <v>50.0</v>
      </c>
      <c r="G440" s="3">
        <v>44462.90724890046</v>
      </c>
      <c r="H440" s="5">
        <f>IFERROR(__xludf.DUMMYFUNCTION("SPLIT(G440,"","")"),44462.0)</f>
        <v>44462</v>
      </c>
      <c r="I440" s="6">
        <f>IFERROR(__xludf.DUMMYFUNCTION("""COMPUTED_VALUE"""),0.9072453703703703)</f>
        <v>0.9072453704</v>
      </c>
    </row>
    <row r="441">
      <c r="A441" s="2">
        <v>5.49</v>
      </c>
      <c r="B441" s="2">
        <v>229.1</v>
      </c>
      <c r="C441" s="2">
        <v>821.1</v>
      </c>
      <c r="D441" s="2">
        <v>5.64</v>
      </c>
      <c r="E441" s="2">
        <v>0.65</v>
      </c>
      <c r="F441" s="2">
        <v>50.0</v>
      </c>
      <c r="G441" s="3">
        <v>44462.90735037037</v>
      </c>
      <c r="H441" s="5">
        <f>IFERROR(__xludf.DUMMYFUNCTION("SPLIT(G441,"","")"),44462.0)</f>
        <v>44462</v>
      </c>
      <c r="I441" s="6">
        <f>IFERROR(__xludf.DUMMYFUNCTION("""COMPUTED_VALUE"""),0.907349537037037)</f>
        <v>0.907349537</v>
      </c>
    </row>
    <row r="442">
      <c r="A442" s="2">
        <v>5.49</v>
      </c>
      <c r="B442" s="2">
        <v>229.1</v>
      </c>
      <c r="C442" s="2">
        <v>821.3</v>
      </c>
      <c r="D442" s="2">
        <v>5.64</v>
      </c>
      <c r="E442" s="2">
        <v>0.65</v>
      </c>
      <c r="F442" s="2">
        <v>50.0</v>
      </c>
      <c r="G442" s="3">
        <v>44462.907450266204</v>
      </c>
      <c r="H442" s="5">
        <f>IFERROR(__xludf.DUMMYFUNCTION("SPLIT(G442,"","")"),44462.0)</f>
        <v>44462</v>
      </c>
      <c r="I442" s="6">
        <f>IFERROR(__xludf.DUMMYFUNCTION("""COMPUTED_VALUE"""),0.9074537037037037)</f>
        <v>0.9074537037</v>
      </c>
    </row>
    <row r="443">
      <c r="A443" s="2">
        <v>5.5</v>
      </c>
      <c r="B443" s="2">
        <v>229.1</v>
      </c>
      <c r="C443" s="2">
        <v>821.5</v>
      </c>
      <c r="D443" s="2">
        <v>5.64</v>
      </c>
      <c r="E443" s="2">
        <v>0.65</v>
      </c>
      <c r="F443" s="2">
        <v>49.9</v>
      </c>
      <c r="G443" s="3">
        <v>44462.907691053246</v>
      </c>
      <c r="H443" s="5">
        <f>IFERROR(__xludf.DUMMYFUNCTION("SPLIT(G443,"","")"),44462.0)</f>
        <v>44462</v>
      </c>
      <c r="I443" s="6">
        <f>IFERROR(__xludf.DUMMYFUNCTION("""COMPUTED_VALUE"""),0.9076967592592593)</f>
        <v>0.9076967593</v>
      </c>
    </row>
    <row r="444">
      <c r="A444" s="2">
        <v>5.49</v>
      </c>
      <c r="B444" s="2">
        <v>229.1</v>
      </c>
      <c r="C444" s="2">
        <v>821.8</v>
      </c>
      <c r="D444" s="2">
        <v>5.65</v>
      </c>
      <c r="E444" s="2">
        <v>0.65</v>
      </c>
      <c r="F444" s="2">
        <v>50.0</v>
      </c>
      <c r="G444" s="3">
        <v>44462.90785579861</v>
      </c>
      <c r="H444" s="5">
        <f>IFERROR(__xludf.DUMMYFUNCTION("SPLIT(G444,"","")"),44462.0)</f>
        <v>44462</v>
      </c>
      <c r="I444" s="6">
        <f>IFERROR(__xludf.DUMMYFUNCTION("""COMPUTED_VALUE"""),0.9078587962962963)</f>
        <v>0.9078587963</v>
      </c>
    </row>
    <row r="445">
      <c r="A445" s="2">
        <v>5.51</v>
      </c>
      <c r="B445" s="2">
        <v>228.9</v>
      </c>
      <c r="C445" s="2">
        <v>822.0</v>
      </c>
      <c r="D445" s="2">
        <v>5.65</v>
      </c>
      <c r="E445" s="2">
        <v>0.65</v>
      </c>
      <c r="F445" s="2">
        <v>50.0</v>
      </c>
      <c r="G445" s="3">
        <v>44462.90795599537</v>
      </c>
      <c r="H445" s="5">
        <f>IFERROR(__xludf.DUMMYFUNCTION("SPLIT(G445,"","")"),44462.0)</f>
        <v>44462</v>
      </c>
      <c r="I445" s="6">
        <f>IFERROR(__xludf.DUMMYFUNCTION("""COMPUTED_VALUE"""),0.9079513888888889)</f>
        <v>0.9079513889</v>
      </c>
    </row>
    <row r="446">
      <c r="A446" s="2">
        <v>5.51</v>
      </c>
      <c r="B446" s="2">
        <v>228.9</v>
      </c>
      <c r="C446" s="2">
        <v>822.1</v>
      </c>
      <c r="D446" s="2">
        <v>5.65</v>
      </c>
      <c r="E446" s="2">
        <v>0.65</v>
      </c>
      <c r="F446" s="2">
        <v>50.0</v>
      </c>
      <c r="G446" s="3">
        <v>44462.90806130787</v>
      </c>
      <c r="H446" s="5">
        <f>IFERROR(__xludf.DUMMYFUNCTION("SPLIT(G446,"","")"),44462.0)</f>
        <v>44462</v>
      </c>
      <c r="I446" s="6">
        <f>IFERROR(__xludf.DUMMYFUNCTION("""COMPUTED_VALUE"""),0.9080555555555555)</f>
        <v>0.9080555556</v>
      </c>
    </row>
    <row r="447">
      <c r="A447" s="2">
        <v>5.51</v>
      </c>
      <c r="B447" s="2">
        <v>229.2</v>
      </c>
      <c r="C447" s="2">
        <v>822.3</v>
      </c>
      <c r="D447" s="2">
        <v>5.65</v>
      </c>
      <c r="E447" s="2">
        <v>0.65</v>
      </c>
      <c r="F447" s="2">
        <v>50.0</v>
      </c>
      <c r="G447" s="3">
        <v>44462.90816680556</v>
      </c>
      <c r="H447" s="5">
        <f>IFERROR(__xludf.DUMMYFUNCTION("SPLIT(G447,"","")"),44462.0)</f>
        <v>44462</v>
      </c>
      <c r="I447" s="6">
        <f>IFERROR(__xludf.DUMMYFUNCTION("""COMPUTED_VALUE"""),0.9081712962962963)</f>
        <v>0.9081712963</v>
      </c>
    </row>
    <row r="448">
      <c r="A448" s="2">
        <v>5.51</v>
      </c>
      <c r="B448" s="2">
        <v>229.3</v>
      </c>
      <c r="C448" s="2">
        <v>822.5</v>
      </c>
      <c r="D448" s="2">
        <v>5.65</v>
      </c>
      <c r="E448" s="2">
        <v>0.65</v>
      </c>
      <c r="F448" s="2">
        <v>50.0</v>
      </c>
      <c r="G448" s="3">
        <v>44462.90827219907</v>
      </c>
      <c r="H448" s="5">
        <f>IFERROR(__xludf.DUMMYFUNCTION("SPLIT(G448,"","")"),44462.0)</f>
        <v>44462</v>
      </c>
      <c r="I448" s="6">
        <f>IFERROR(__xludf.DUMMYFUNCTION("""COMPUTED_VALUE"""),0.9082754629629629)</f>
        <v>0.908275463</v>
      </c>
    </row>
    <row r="449">
      <c r="A449" s="2">
        <v>5.51</v>
      </c>
      <c r="B449" s="2">
        <v>229.2</v>
      </c>
      <c r="C449" s="2">
        <v>822.5</v>
      </c>
      <c r="D449" s="2">
        <v>5.66</v>
      </c>
      <c r="E449" s="2">
        <v>0.65</v>
      </c>
      <c r="F449" s="2">
        <v>50.0</v>
      </c>
      <c r="G449" s="3">
        <v>44462.90837658565</v>
      </c>
      <c r="H449" s="5">
        <f>IFERROR(__xludf.DUMMYFUNCTION("SPLIT(G449,"","")"),44462.0)</f>
        <v>44462</v>
      </c>
      <c r="I449" s="6">
        <f>IFERROR(__xludf.DUMMYFUNCTION("""COMPUTED_VALUE"""),0.9083796296296296)</f>
        <v>0.9083796296</v>
      </c>
    </row>
    <row r="450">
      <c r="A450" s="2">
        <v>5.51</v>
      </c>
      <c r="B450" s="2">
        <v>229.3</v>
      </c>
      <c r="C450" s="2">
        <v>822.8</v>
      </c>
      <c r="D450" s="2">
        <v>5.66</v>
      </c>
      <c r="E450" s="2">
        <v>0.65</v>
      </c>
      <c r="F450" s="2">
        <v>50.0</v>
      </c>
      <c r="G450" s="3">
        <v>44462.9084784375</v>
      </c>
      <c r="H450" s="5">
        <f>IFERROR(__xludf.DUMMYFUNCTION("SPLIT(G450,"","")"),44462.0)</f>
        <v>44462</v>
      </c>
      <c r="I450" s="6">
        <f>IFERROR(__xludf.DUMMYFUNCTION("""COMPUTED_VALUE"""),0.9084837962962963)</f>
        <v>0.9084837963</v>
      </c>
    </row>
    <row r="451">
      <c r="A451" s="2">
        <v>5.51</v>
      </c>
      <c r="B451" s="2">
        <v>229.1</v>
      </c>
      <c r="C451" s="2">
        <v>823.0</v>
      </c>
      <c r="D451" s="2">
        <v>5.66</v>
      </c>
      <c r="E451" s="2">
        <v>0.65</v>
      </c>
      <c r="F451" s="2">
        <v>50.0</v>
      </c>
      <c r="G451" s="3">
        <v>44462.90858152778</v>
      </c>
      <c r="H451" s="5">
        <f>IFERROR(__xludf.DUMMYFUNCTION("SPLIT(G451,"","")"),44462.0)</f>
        <v>44462</v>
      </c>
      <c r="I451" s="6">
        <f>IFERROR(__xludf.DUMMYFUNCTION("""COMPUTED_VALUE"""),0.9085763888888889)</f>
        <v>0.9085763889</v>
      </c>
    </row>
    <row r="452">
      <c r="A452" s="2">
        <v>5.51</v>
      </c>
      <c r="B452" s="2">
        <v>229.2</v>
      </c>
      <c r="C452" s="2">
        <v>823.1</v>
      </c>
      <c r="D452" s="2">
        <v>5.66</v>
      </c>
      <c r="E452" s="2">
        <v>0.65</v>
      </c>
      <c r="F452" s="2">
        <v>50.0</v>
      </c>
      <c r="G452" s="3">
        <v>44462.908681354165</v>
      </c>
      <c r="H452" s="5">
        <f>IFERROR(__xludf.DUMMYFUNCTION("SPLIT(G452,"","")"),44462.0)</f>
        <v>44462</v>
      </c>
      <c r="I452" s="6">
        <f>IFERROR(__xludf.DUMMYFUNCTION("""COMPUTED_VALUE"""),0.9086805555555556)</f>
        <v>0.9086805556</v>
      </c>
    </row>
    <row r="453">
      <c r="A453" s="2">
        <v>5.51</v>
      </c>
      <c r="B453" s="2">
        <v>229.2</v>
      </c>
      <c r="C453" s="2">
        <v>823.4</v>
      </c>
      <c r="D453" s="2">
        <v>5.66</v>
      </c>
      <c r="E453" s="2">
        <v>0.65</v>
      </c>
      <c r="F453" s="2">
        <v>50.0</v>
      </c>
      <c r="G453" s="3">
        <v>44462.90880684028</v>
      </c>
      <c r="H453" s="5">
        <f>IFERROR(__xludf.DUMMYFUNCTION("SPLIT(G453,"","")"),44462.0)</f>
        <v>44462</v>
      </c>
      <c r="I453" s="6">
        <f>IFERROR(__xludf.DUMMYFUNCTION("""COMPUTED_VALUE"""),0.9088078703703704)</f>
        <v>0.9088078704</v>
      </c>
    </row>
    <row r="454">
      <c r="A454" s="2">
        <v>5.53</v>
      </c>
      <c r="B454" s="2">
        <v>229.0</v>
      </c>
      <c r="C454" s="2">
        <v>823.6</v>
      </c>
      <c r="D454" s="2">
        <v>5.67</v>
      </c>
      <c r="E454" s="2">
        <v>0.65</v>
      </c>
      <c r="F454" s="2">
        <v>50.0</v>
      </c>
      <c r="G454" s="3">
        <v>44462.908905752316</v>
      </c>
      <c r="H454" s="5">
        <f>IFERROR(__xludf.DUMMYFUNCTION("SPLIT(G454,"","")"),44462.0)</f>
        <v>44462</v>
      </c>
      <c r="I454" s="6">
        <f>IFERROR(__xludf.DUMMYFUNCTION("""COMPUTED_VALUE"""),0.908900462962963)</f>
        <v>0.908900463</v>
      </c>
    </row>
    <row r="455">
      <c r="A455" s="2">
        <v>5.52</v>
      </c>
      <c r="B455" s="2">
        <v>229.1</v>
      </c>
      <c r="C455" s="2">
        <v>823.7</v>
      </c>
      <c r="D455" s="2">
        <v>5.67</v>
      </c>
      <c r="E455" s="2">
        <v>0.65</v>
      </c>
      <c r="F455" s="2">
        <v>50.0</v>
      </c>
      <c r="G455" s="3">
        <v>44462.90900998843</v>
      </c>
      <c r="H455" s="5">
        <f>IFERROR(__xludf.DUMMYFUNCTION("SPLIT(G455,"","")"),44462.0)</f>
        <v>44462</v>
      </c>
      <c r="I455" s="6">
        <f>IFERROR(__xludf.DUMMYFUNCTION("""COMPUTED_VALUE"""),0.9090046296296296)</f>
        <v>0.9090046296</v>
      </c>
    </row>
    <row r="456">
      <c r="A456" s="2">
        <v>5.52</v>
      </c>
      <c r="B456" s="2">
        <v>229.0</v>
      </c>
      <c r="C456" s="2">
        <v>823.9</v>
      </c>
      <c r="D456" s="2">
        <v>5.67</v>
      </c>
      <c r="E456" s="2">
        <v>0.65</v>
      </c>
      <c r="F456" s="2">
        <v>50.0</v>
      </c>
      <c r="G456" s="3">
        <v>44462.90912143519</v>
      </c>
      <c r="H456" s="5">
        <f>IFERROR(__xludf.DUMMYFUNCTION("SPLIT(G456,"","")"),44462.0)</f>
        <v>44462</v>
      </c>
      <c r="I456" s="6">
        <f>IFERROR(__xludf.DUMMYFUNCTION("""COMPUTED_VALUE"""),0.9091203703703704)</f>
        <v>0.9091203704</v>
      </c>
    </row>
    <row r="457">
      <c r="A457" s="2">
        <v>5.52</v>
      </c>
      <c r="B457" s="2">
        <v>229.1</v>
      </c>
      <c r="C457" s="2">
        <v>824.0</v>
      </c>
      <c r="D457" s="2">
        <v>5.67</v>
      </c>
      <c r="E457" s="2">
        <v>0.65</v>
      </c>
      <c r="F457" s="2">
        <v>50.0</v>
      </c>
      <c r="G457" s="3">
        <v>44462.909231701386</v>
      </c>
      <c r="H457" s="5">
        <f>IFERROR(__xludf.DUMMYFUNCTION("SPLIT(G457,"","")"),44462.0)</f>
        <v>44462</v>
      </c>
      <c r="I457" s="6">
        <f>IFERROR(__xludf.DUMMYFUNCTION("""COMPUTED_VALUE"""),0.9092361111111111)</f>
        <v>0.9092361111</v>
      </c>
    </row>
    <row r="458">
      <c r="A458" s="2">
        <v>5.52</v>
      </c>
      <c r="B458" s="2">
        <v>229.1</v>
      </c>
      <c r="C458" s="2">
        <v>824.1</v>
      </c>
      <c r="D458" s="2">
        <v>5.68</v>
      </c>
      <c r="E458" s="2">
        <v>0.65</v>
      </c>
      <c r="F458" s="2">
        <v>50.0</v>
      </c>
      <c r="G458" s="3">
        <v>44462.909334675925</v>
      </c>
      <c r="H458" s="5">
        <f>IFERROR(__xludf.DUMMYFUNCTION("SPLIT(G458,"","")"),44462.0)</f>
        <v>44462</v>
      </c>
      <c r="I458" s="6">
        <f>IFERROR(__xludf.DUMMYFUNCTION("""COMPUTED_VALUE"""),0.9093402777777778)</f>
        <v>0.9093402778</v>
      </c>
    </row>
    <row r="459">
      <c r="A459" s="2">
        <v>5.53</v>
      </c>
      <c r="B459" s="2">
        <v>229.0</v>
      </c>
      <c r="C459" s="2">
        <v>824.4</v>
      </c>
      <c r="D459" s="2">
        <v>5.68</v>
      </c>
      <c r="E459" s="2">
        <v>0.65</v>
      </c>
      <c r="F459" s="2">
        <v>50.0</v>
      </c>
      <c r="G459" s="3">
        <v>44462.90943696759</v>
      </c>
      <c r="H459" s="5">
        <f>IFERROR(__xludf.DUMMYFUNCTION("SPLIT(G459,"","")"),44462.0)</f>
        <v>44462</v>
      </c>
      <c r="I459" s="6">
        <f>IFERROR(__xludf.DUMMYFUNCTION("""COMPUTED_VALUE"""),0.9094328703703703)</f>
        <v>0.9094328704</v>
      </c>
    </row>
    <row r="460">
      <c r="A460" s="2">
        <v>5.51</v>
      </c>
      <c r="B460" s="2">
        <v>229.2</v>
      </c>
      <c r="C460" s="2">
        <v>824.4</v>
      </c>
      <c r="D460" s="2">
        <v>5.68</v>
      </c>
      <c r="E460" s="2">
        <v>0.65</v>
      </c>
      <c r="F460" s="2">
        <v>50.0</v>
      </c>
      <c r="G460" s="3">
        <v>44462.90954068287</v>
      </c>
      <c r="H460" s="5">
        <f>IFERROR(__xludf.DUMMYFUNCTION("SPLIT(G460,"","")"),44462.0)</f>
        <v>44462</v>
      </c>
      <c r="I460" s="6">
        <f>IFERROR(__xludf.DUMMYFUNCTION("""COMPUTED_VALUE"""),0.909537037037037)</f>
        <v>0.909537037</v>
      </c>
    </row>
    <row r="461">
      <c r="A461" s="2">
        <v>5.52</v>
      </c>
      <c r="B461" s="2">
        <v>229.2</v>
      </c>
      <c r="C461" s="2">
        <v>824.6</v>
      </c>
      <c r="D461" s="2">
        <v>5.68</v>
      </c>
      <c r="E461" s="2">
        <v>0.65</v>
      </c>
      <c r="F461" s="2">
        <v>50.0</v>
      </c>
      <c r="G461" s="3">
        <v>44462.90964111111</v>
      </c>
      <c r="H461" s="5">
        <f>IFERROR(__xludf.DUMMYFUNCTION("SPLIT(G461,"","")"),44462.0)</f>
        <v>44462</v>
      </c>
      <c r="I461" s="6">
        <f>IFERROR(__xludf.DUMMYFUNCTION("""COMPUTED_VALUE"""),0.9096412037037037)</f>
        <v>0.9096412037</v>
      </c>
    </row>
    <row r="462">
      <c r="A462" s="2">
        <v>5.51</v>
      </c>
      <c r="B462" s="2">
        <v>229.2</v>
      </c>
      <c r="C462" s="2">
        <v>824.7</v>
      </c>
      <c r="D462" s="2">
        <v>5.68</v>
      </c>
      <c r="E462" s="2">
        <v>0.65</v>
      </c>
      <c r="F462" s="2">
        <v>50.0</v>
      </c>
      <c r="G462" s="3">
        <v>44462.9097415162</v>
      </c>
      <c r="H462" s="5">
        <f>IFERROR(__xludf.DUMMYFUNCTION("SPLIT(G462,"","")"),44462.0)</f>
        <v>44462</v>
      </c>
      <c r="I462" s="6">
        <f>IFERROR(__xludf.DUMMYFUNCTION("""COMPUTED_VALUE"""),0.9097453703703704)</f>
        <v>0.9097453704</v>
      </c>
    </row>
    <row r="463">
      <c r="A463" s="2">
        <v>5.51</v>
      </c>
      <c r="B463" s="2">
        <v>229.2</v>
      </c>
      <c r="C463" s="2">
        <v>825.0</v>
      </c>
      <c r="D463" s="2">
        <v>5.68</v>
      </c>
      <c r="E463" s="2">
        <v>0.65</v>
      </c>
      <c r="F463" s="2">
        <v>50.0</v>
      </c>
      <c r="G463" s="3">
        <v>44462.90984224537</v>
      </c>
      <c r="H463" s="5">
        <f>IFERROR(__xludf.DUMMYFUNCTION("SPLIT(G463,"","")"),44462.0)</f>
        <v>44462</v>
      </c>
      <c r="I463" s="6">
        <f>IFERROR(__xludf.DUMMYFUNCTION("""COMPUTED_VALUE"""),0.9098379629629629)</f>
        <v>0.909837963</v>
      </c>
    </row>
    <row r="464">
      <c r="A464" s="2">
        <v>5.52</v>
      </c>
      <c r="B464" s="2">
        <v>229.2</v>
      </c>
      <c r="C464" s="2">
        <v>825.2</v>
      </c>
      <c r="D464" s="2">
        <v>5.69</v>
      </c>
      <c r="E464" s="2">
        <v>0.65</v>
      </c>
      <c r="F464" s="2">
        <v>50.0</v>
      </c>
      <c r="G464" s="3">
        <v>44462.909944733794</v>
      </c>
      <c r="H464" s="5">
        <f>IFERROR(__xludf.DUMMYFUNCTION("SPLIT(G464,"","")"),44462.0)</f>
        <v>44462</v>
      </c>
      <c r="I464" s="6">
        <f>IFERROR(__xludf.DUMMYFUNCTION("""COMPUTED_VALUE"""),0.9099421296296296)</f>
        <v>0.9099421296</v>
      </c>
    </row>
    <row r="465">
      <c r="A465" s="2">
        <v>5.51</v>
      </c>
      <c r="B465" s="2">
        <v>229.2</v>
      </c>
      <c r="C465" s="2">
        <v>825.3</v>
      </c>
      <c r="D465" s="2">
        <v>5.69</v>
      </c>
      <c r="E465" s="2">
        <v>0.65</v>
      </c>
      <c r="F465" s="2">
        <v>50.0</v>
      </c>
      <c r="G465" s="3">
        <v>44462.91004785879</v>
      </c>
      <c r="H465" s="5">
        <f>IFERROR(__xludf.DUMMYFUNCTION("SPLIT(G465,"","")"),44462.0)</f>
        <v>44462</v>
      </c>
      <c r="I465" s="6">
        <f>IFERROR(__xludf.DUMMYFUNCTION("""COMPUTED_VALUE"""),0.9100462962962963)</f>
        <v>0.9100462963</v>
      </c>
    </row>
    <row r="466">
      <c r="A466" s="2">
        <v>5.51</v>
      </c>
      <c r="B466" s="2">
        <v>229.3</v>
      </c>
      <c r="C466" s="2">
        <v>825.5</v>
      </c>
      <c r="D466" s="2">
        <v>5.69</v>
      </c>
      <c r="E466" s="2">
        <v>0.65</v>
      </c>
      <c r="F466" s="2">
        <v>50.0</v>
      </c>
      <c r="G466" s="3">
        <v>44462.91014878472</v>
      </c>
      <c r="H466" s="5">
        <f>IFERROR(__xludf.DUMMYFUNCTION("SPLIT(G466,"","")"),44462.0)</f>
        <v>44462</v>
      </c>
      <c r="I466" s="6">
        <f>IFERROR(__xludf.DUMMYFUNCTION("""COMPUTED_VALUE"""),0.910150462962963)</f>
        <v>0.910150463</v>
      </c>
    </row>
    <row r="467">
      <c r="A467" s="2">
        <v>5.51</v>
      </c>
      <c r="B467" s="2">
        <v>229.3</v>
      </c>
      <c r="C467" s="2">
        <v>825.7</v>
      </c>
      <c r="D467" s="2">
        <v>5.69</v>
      </c>
      <c r="E467" s="2">
        <v>0.65</v>
      </c>
      <c r="F467" s="2">
        <v>50.0</v>
      </c>
      <c r="G467" s="3">
        <v>44462.91025059028</v>
      </c>
      <c r="H467" s="5">
        <f>IFERROR(__xludf.DUMMYFUNCTION("SPLIT(G467,"","")"),44462.0)</f>
        <v>44462</v>
      </c>
      <c r="I467" s="6">
        <f>IFERROR(__xludf.DUMMYFUNCTION("""COMPUTED_VALUE"""),0.9102546296296297)</f>
        <v>0.9102546296</v>
      </c>
    </row>
    <row r="468">
      <c r="A468" s="2">
        <v>5.51</v>
      </c>
      <c r="B468" s="2">
        <v>229.3</v>
      </c>
      <c r="C468" s="2">
        <v>825.9</v>
      </c>
      <c r="D468" s="2">
        <v>5.7</v>
      </c>
      <c r="E468" s="2">
        <v>0.65</v>
      </c>
      <c r="F468" s="2">
        <v>50.0</v>
      </c>
      <c r="G468" s="3">
        <v>44462.91035498843</v>
      </c>
      <c r="H468" s="5">
        <f>IFERROR(__xludf.DUMMYFUNCTION("SPLIT(G468,"","")"),44462.0)</f>
        <v>44462</v>
      </c>
      <c r="I468" s="6">
        <f>IFERROR(__xludf.DUMMYFUNCTION("""COMPUTED_VALUE"""),0.9103587962962963)</f>
        <v>0.9103587963</v>
      </c>
    </row>
    <row r="469">
      <c r="A469" s="2">
        <v>5.52</v>
      </c>
      <c r="B469" s="2">
        <v>229.2</v>
      </c>
      <c r="C469" s="2">
        <v>826.1</v>
      </c>
      <c r="D469" s="2">
        <v>5.7</v>
      </c>
      <c r="E469" s="2">
        <v>0.65</v>
      </c>
      <c r="F469" s="2">
        <v>50.0</v>
      </c>
      <c r="G469" s="3">
        <v>44462.910461747684</v>
      </c>
      <c r="H469" s="5">
        <f>IFERROR(__xludf.DUMMYFUNCTION("SPLIT(G469,"","")"),44462.0)</f>
        <v>44462</v>
      </c>
      <c r="I469" s="6">
        <f>IFERROR(__xludf.DUMMYFUNCTION("""COMPUTED_VALUE"""),0.9104629629629629)</f>
        <v>0.910462963</v>
      </c>
    </row>
    <row r="470">
      <c r="A470" s="2">
        <v>5.52</v>
      </c>
      <c r="B470" s="2">
        <v>229.2</v>
      </c>
      <c r="C470" s="2">
        <v>826.2</v>
      </c>
      <c r="D470" s="2">
        <v>5.7</v>
      </c>
      <c r="E470" s="2">
        <v>0.65</v>
      </c>
      <c r="F470" s="2">
        <v>50.0</v>
      </c>
      <c r="G470" s="3">
        <v>44462.9105638426</v>
      </c>
      <c r="H470" s="5">
        <f>IFERROR(__xludf.DUMMYFUNCTION("SPLIT(G470,"","")"),44462.0)</f>
        <v>44462</v>
      </c>
      <c r="I470" s="6">
        <f>IFERROR(__xludf.DUMMYFUNCTION("""COMPUTED_VALUE"""),0.9105671296296296)</f>
        <v>0.9105671296</v>
      </c>
    </row>
    <row r="471">
      <c r="A471" s="2">
        <v>5.52</v>
      </c>
      <c r="B471" s="2">
        <v>229.2</v>
      </c>
      <c r="C471" s="2">
        <v>826.5</v>
      </c>
      <c r="D471" s="2">
        <v>5.7</v>
      </c>
      <c r="E471" s="2">
        <v>0.65</v>
      </c>
      <c r="F471" s="2">
        <v>50.0</v>
      </c>
      <c r="G471" s="3">
        <v>44462.910666689815</v>
      </c>
      <c r="H471" s="5">
        <f>IFERROR(__xludf.DUMMYFUNCTION("SPLIT(G471,"","")"),44462.0)</f>
        <v>44462</v>
      </c>
      <c r="I471" s="6">
        <f>IFERROR(__xludf.DUMMYFUNCTION("""COMPUTED_VALUE"""),0.9106712962962963)</f>
        <v>0.9106712963</v>
      </c>
    </row>
    <row r="472">
      <c r="A472" s="2">
        <v>5.48</v>
      </c>
      <c r="B472" s="2">
        <v>229.8</v>
      </c>
      <c r="C472" s="2">
        <v>826.6</v>
      </c>
      <c r="D472" s="2">
        <v>5.7</v>
      </c>
      <c r="E472" s="2">
        <v>0.66</v>
      </c>
      <c r="F472" s="2">
        <v>50.0</v>
      </c>
      <c r="G472" s="3">
        <v>44462.91077086805</v>
      </c>
      <c r="H472" s="5">
        <f>IFERROR(__xludf.DUMMYFUNCTION("SPLIT(G472,"","")"),44462.0)</f>
        <v>44462</v>
      </c>
      <c r="I472" s="6">
        <f>IFERROR(__xludf.DUMMYFUNCTION("""COMPUTED_VALUE"""),0.910775462962963)</f>
        <v>0.910775463</v>
      </c>
    </row>
    <row r="473">
      <c r="A473" s="2">
        <v>5.48</v>
      </c>
      <c r="B473" s="2">
        <v>229.9</v>
      </c>
      <c r="C473" s="2">
        <v>826.7</v>
      </c>
      <c r="D473" s="2">
        <v>5.71</v>
      </c>
      <c r="E473" s="2">
        <v>0.66</v>
      </c>
      <c r="F473" s="2">
        <v>50.0</v>
      </c>
      <c r="G473" s="3">
        <v>44462.91087758102</v>
      </c>
      <c r="H473" s="5">
        <f>IFERROR(__xludf.DUMMYFUNCTION("SPLIT(G473,"","")"),44462.0)</f>
        <v>44462</v>
      </c>
      <c r="I473" s="6">
        <f>IFERROR(__xludf.DUMMYFUNCTION("""COMPUTED_VALUE"""),0.9108796296296297)</f>
        <v>0.9108796296</v>
      </c>
    </row>
    <row r="474">
      <c r="A474" s="2">
        <v>5.48</v>
      </c>
      <c r="B474" s="2">
        <v>229.9</v>
      </c>
      <c r="C474" s="2">
        <v>827.0</v>
      </c>
      <c r="D474" s="2">
        <v>5.71</v>
      </c>
      <c r="E474" s="2">
        <v>0.66</v>
      </c>
      <c r="F474" s="2">
        <v>50.0</v>
      </c>
      <c r="G474" s="3">
        <v>44462.910972812504</v>
      </c>
      <c r="H474" s="5">
        <f>IFERROR(__xludf.DUMMYFUNCTION("SPLIT(G474,"","")"),44462.0)</f>
        <v>44462</v>
      </c>
      <c r="I474" s="6">
        <f>IFERROR(__xludf.DUMMYFUNCTION("""COMPUTED_VALUE"""),0.9109722222222222)</f>
        <v>0.9109722222</v>
      </c>
    </row>
    <row r="475">
      <c r="A475" s="2">
        <v>5.48</v>
      </c>
      <c r="B475" s="2">
        <v>230.0</v>
      </c>
      <c r="C475" s="2">
        <v>827.1</v>
      </c>
      <c r="D475" s="2">
        <v>5.71</v>
      </c>
      <c r="E475" s="2">
        <v>0.66</v>
      </c>
      <c r="F475" s="2">
        <v>50.0</v>
      </c>
      <c r="G475" s="3">
        <v>44462.91107472222</v>
      </c>
      <c r="H475" s="5">
        <f>IFERROR(__xludf.DUMMYFUNCTION("SPLIT(G475,"","")"),44462.0)</f>
        <v>44462</v>
      </c>
      <c r="I475" s="6">
        <f>IFERROR(__xludf.DUMMYFUNCTION("""COMPUTED_VALUE"""),0.9110763888888889)</f>
        <v>0.9110763889</v>
      </c>
    </row>
    <row r="476">
      <c r="A476" s="2">
        <v>5.48</v>
      </c>
      <c r="B476" s="2">
        <v>230.2</v>
      </c>
      <c r="C476" s="2">
        <v>827.2</v>
      </c>
      <c r="D476" s="2">
        <v>5.71</v>
      </c>
      <c r="E476" s="2">
        <v>0.66</v>
      </c>
      <c r="F476" s="2">
        <v>50.0</v>
      </c>
      <c r="G476" s="3">
        <v>44462.91117356482</v>
      </c>
      <c r="H476" s="5">
        <f>IFERROR(__xludf.DUMMYFUNCTION("SPLIT(G476,"","")"),44462.0)</f>
        <v>44462</v>
      </c>
      <c r="I476" s="6">
        <f>IFERROR(__xludf.DUMMYFUNCTION("""COMPUTED_VALUE"""),0.9111689814814815)</f>
        <v>0.9111689815</v>
      </c>
    </row>
    <row r="477">
      <c r="A477" s="2">
        <v>5.48</v>
      </c>
      <c r="B477" s="2">
        <v>230.2</v>
      </c>
      <c r="C477" s="2">
        <v>827.4</v>
      </c>
      <c r="D477" s="2">
        <v>5.71</v>
      </c>
      <c r="E477" s="2">
        <v>0.66</v>
      </c>
      <c r="F477" s="2">
        <v>50.0</v>
      </c>
      <c r="G477" s="3">
        <v>44462.91127509259</v>
      </c>
      <c r="H477" s="5">
        <f>IFERROR(__xludf.DUMMYFUNCTION("SPLIT(G477,"","")"),44462.0)</f>
        <v>44462</v>
      </c>
      <c r="I477" s="6">
        <f>IFERROR(__xludf.DUMMYFUNCTION("""COMPUTED_VALUE"""),0.9112731481481482)</f>
        <v>0.9112731481</v>
      </c>
    </row>
    <row r="478">
      <c r="A478" s="2">
        <v>5.47</v>
      </c>
      <c r="B478" s="2">
        <v>230.3</v>
      </c>
      <c r="C478" s="2">
        <v>827.4</v>
      </c>
      <c r="D478" s="2">
        <v>5.72</v>
      </c>
      <c r="E478" s="2">
        <v>0.66</v>
      </c>
      <c r="F478" s="2">
        <v>50.0</v>
      </c>
      <c r="G478" s="3">
        <v>44462.91137640046</v>
      </c>
      <c r="H478" s="5">
        <f>IFERROR(__xludf.DUMMYFUNCTION("SPLIT(G478,"","")"),44462.0)</f>
        <v>44462</v>
      </c>
      <c r="I478" s="6">
        <f>IFERROR(__xludf.DUMMYFUNCTION("""COMPUTED_VALUE"""),0.9113773148148148)</f>
        <v>0.9113773148</v>
      </c>
    </row>
    <row r="479">
      <c r="A479" s="2">
        <v>5.47</v>
      </c>
      <c r="B479" s="2">
        <v>230.2</v>
      </c>
      <c r="C479" s="2">
        <v>827.7</v>
      </c>
      <c r="D479" s="2">
        <v>5.72</v>
      </c>
      <c r="E479" s="2">
        <v>0.66</v>
      </c>
      <c r="F479" s="2">
        <v>49.9</v>
      </c>
      <c r="G479" s="3">
        <v>44462.91148135417</v>
      </c>
      <c r="H479" s="5">
        <f>IFERROR(__xludf.DUMMYFUNCTION("SPLIT(G479,"","")"),44462.0)</f>
        <v>44462</v>
      </c>
      <c r="I479" s="6">
        <f>IFERROR(__xludf.DUMMYFUNCTION("""COMPUTED_VALUE"""),0.9114814814814814)</f>
        <v>0.9114814815</v>
      </c>
    </row>
    <row r="480">
      <c r="A480" s="2">
        <v>5.47</v>
      </c>
      <c r="B480" s="2">
        <v>230.3</v>
      </c>
      <c r="C480" s="2">
        <v>828.0</v>
      </c>
      <c r="D480" s="2">
        <v>5.72</v>
      </c>
      <c r="E480" s="2">
        <v>0.66</v>
      </c>
      <c r="F480" s="2">
        <v>49.9</v>
      </c>
      <c r="G480" s="3">
        <v>44462.91158410879</v>
      </c>
      <c r="H480" s="5">
        <f>IFERROR(__xludf.DUMMYFUNCTION("SPLIT(G480,"","")"),44462.0)</f>
        <v>44462</v>
      </c>
      <c r="I480" s="6">
        <f>IFERROR(__xludf.DUMMYFUNCTION("""COMPUTED_VALUE"""),0.9115856481481481)</f>
        <v>0.9115856481</v>
      </c>
    </row>
    <row r="481">
      <c r="A481" s="2">
        <v>5.46</v>
      </c>
      <c r="B481" s="2">
        <v>230.2</v>
      </c>
      <c r="C481" s="2">
        <v>828.1</v>
      </c>
      <c r="D481" s="2">
        <v>5.72</v>
      </c>
      <c r="E481" s="2">
        <v>0.66</v>
      </c>
      <c r="F481" s="2">
        <v>49.9</v>
      </c>
      <c r="G481" s="3">
        <v>44462.911682453705</v>
      </c>
      <c r="H481" s="5">
        <f>IFERROR(__xludf.DUMMYFUNCTION("SPLIT(G481,"","")"),44462.0)</f>
        <v>44462</v>
      </c>
      <c r="I481" s="6">
        <f>IFERROR(__xludf.DUMMYFUNCTION("""COMPUTED_VALUE"""),0.9116782407407408)</f>
        <v>0.9116782407</v>
      </c>
    </row>
    <row r="482">
      <c r="A482" s="2">
        <v>5.47</v>
      </c>
      <c r="B482" s="2">
        <v>230.2</v>
      </c>
      <c r="C482" s="2">
        <v>828.3</v>
      </c>
      <c r="D482" s="2">
        <v>5.72</v>
      </c>
      <c r="E482" s="2">
        <v>0.66</v>
      </c>
      <c r="F482" s="2">
        <v>49.9</v>
      </c>
      <c r="G482" s="3">
        <v>44462.911787916666</v>
      </c>
      <c r="H482" s="5">
        <f>IFERROR(__xludf.DUMMYFUNCTION("SPLIT(G482,"","")"),44462.0)</f>
        <v>44462</v>
      </c>
      <c r="I482" s="6">
        <f>IFERROR(__xludf.DUMMYFUNCTION("""COMPUTED_VALUE"""),0.9117824074074075)</f>
        <v>0.9117824074</v>
      </c>
    </row>
    <row r="483">
      <c r="A483" s="2">
        <v>5.48</v>
      </c>
      <c r="B483" s="2">
        <v>229.9</v>
      </c>
      <c r="C483" s="2">
        <v>828.6</v>
      </c>
      <c r="D483" s="2">
        <v>5.73</v>
      </c>
      <c r="E483" s="2">
        <v>0.66</v>
      </c>
      <c r="F483" s="2">
        <v>49.9</v>
      </c>
      <c r="G483" s="3">
        <v>44462.91189753472</v>
      </c>
      <c r="H483" s="5">
        <f>IFERROR(__xludf.DUMMYFUNCTION("SPLIT(G483,"","")"),44462.0)</f>
        <v>44462</v>
      </c>
      <c r="I483" s="6">
        <f>IFERROR(__xludf.DUMMYFUNCTION("""COMPUTED_VALUE"""),0.9118981481481482)</f>
        <v>0.9118981481</v>
      </c>
    </row>
    <row r="484">
      <c r="A484" s="2">
        <v>5.48</v>
      </c>
      <c r="B484" s="2">
        <v>230.0</v>
      </c>
      <c r="C484" s="2">
        <v>828.7</v>
      </c>
      <c r="D484" s="2">
        <v>5.73</v>
      </c>
      <c r="E484" s="2">
        <v>0.66</v>
      </c>
      <c r="F484" s="2">
        <v>50.0</v>
      </c>
      <c r="G484" s="3">
        <v>44462.912009444444</v>
      </c>
      <c r="H484" s="5">
        <f>IFERROR(__xludf.DUMMYFUNCTION("SPLIT(G484,"","")"),44462.0)</f>
        <v>44462</v>
      </c>
      <c r="I484" s="6">
        <f>IFERROR(__xludf.DUMMYFUNCTION("""COMPUTED_VALUE"""),0.9120138888888889)</f>
        <v>0.9120138889</v>
      </c>
    </row>
    <row r="485">
      <c r="A485" s="2">
        <v>5.48</v>
      </c>
      <c r="B485" s="2">
        <v>230.0</v>
      </c>
      <c r="C485" s="2">
        <v>828.9</v>
      </c>
      <c r="D485" s="2">
        <v>5.73</v>
      </c>
      <c r="E485" s="2">
        <v>0.66</v>
      </c>
      <c r="F485" s="2">
        <v>50.0</v>
      </c>
      <c r="G485" s="3">
        <v>44462.91211896991</v>
      </c>
      <c r="H485" s="5">
        <f>IFERROR(__xludf.DUMMYFUNCTION("SPLIT(G485,"","")"),44462.0)</f>
        <v>44462</v>
      </c>
      <c r="I485" s="6">
        <f>IFERROR(__xludf.DUMMYFUNCTION("""COMPUTED_VALUE"""),0.9121180555555556)</f>
        <v>0.9121180556</v>
      </c>
    </row>
    <row r="486">
      <c r="A486" s="2">
        <v>5.48</v>
      </c>
      <c r="B486" s="2">
        <v>230.2</v>
      </c>
      <c r="C486" s="2">
        <v>829.1</v>
      </c>
      <c r="D486" s="2">
        <v>5.73</v>
      </c>
      <c r="E486" s="2">
        <v>0.66</v>
      </c>
      <c r="F486" s="2">
        <v>50.0</v>
      </c>
      <c r="G486" s="3">
        <v>44462.912223136576</v>
      </c>
      <c r="H486" s="5">
        <f>IFERROR(__xludf.DUMMYFUNCTION("SPLIT(G486,"","")"),44462.0)</f>
        <v>44462</v>
      </c>
      <c r="I486" s="6">
        <f>IFERROR(__xludf.DUMMYFUNCTION("""COMPUTED_VALUE"""),0.9122222222222223)</f>
        <v>0.9122222222</v>
      </c>
    </row>
    <row r="487">
      <c r="A487" s="2">
        <v>5.48</v>
      </c>
      <c r="B487" s="2">
        <v>230.1</v>
      </c>
      <c r="C487" s="2">
        <v>829.2</v>
      </c>
      <c r="D487" s="2">
        <v>5.73</v>
      </c>
      <c r="E487" s="2">
        <v>0.66</v>
      </c>
      <c r="F487" s="2">
        <v>50.0</v>
      </c>
      <c r="G487" s="3">
        <v>44462.91232746528</v>
      </c>
      <c r="H487" s="5">
        <f>IFERROR(__xludf.DUMMYFUNCTION("SPLIT(G487,"","")"),44462.0)</f>
        <v>44462</v>
      </c>
      <c r="I487" s="6">
        <f>IFERROR(__xludf.DUMMYFUNCTION("""COMPUTED_VALUE"""),0.9123263888888888)</f>
        <v>0.9123263889</v>
      </c>
    </row>
    <row r="488">
      <c r="A488" s="2">
        <v>5.48</v>
      </c>
      <c r="B488" s="2">
        <v>230.1</v>
      </c>
      <c r="C488" s="2">
        <v>829.5</v>
      </c>
      <c r="D488" s="2">
        <v>5.74</v>
      </c>
      <c r="E488" s="2">
        <v>0.66</v>
      </c>
      <c r="F488" s="2">
        <v>50.0</v>
      </c>
      <c r="G488" s="3">
        <v>44462.91244206019</v>
      </c>
      <c r="H488" s="5">
        <f>IFERROR(__xludf.DUMMYFUNCTION("SPLIT(G488,"","")"),44462.0)</f>
        <v>44462</v>
      </c>
      <c r="I488" s="6">
        <f>IFERROR(__xludf.DUMMYFUNCTION("""COMPUTED_VALUE"""),0.9124421296296297)</f>
        <v>0.9124421296</v>
      </c>
    </row>
    <row r="489">
      <c r="A489" s="2">
        <v>5.52</v>
      </c>
      <c r="B489" s="2">
        <v>229.9</v>
      </c>
      <c r="C489" s="2">
        <v>829.7</v>
      </c>
      <c r="D489" s="2">
        <v>5.74</v>
      </c>
      <c r="E489" s="2">
        <v>0.65</v>
      </c>
      <c r="F489" s="2">
        <v>50.0</v>
      </c>
      <c r="G489" s="3">
        <v>44462.91254806713</v>
      </c>
      <c r="H489" s="5">
        <f>IFERROR(__xludf.DUMMYFUNCTION("SPLIT(G489,"","")"),44462.0)</f>
        <v>44462</v>
      </c>
      <c r="I489" s="6">
        <f>IFERROR(__xludf.DUMMYFUNCTION("""COMPUTED_VALUE"""),0.9125462962962962)</f>
        <v>0.9125462963</v>
      </c>
    </row>
    <row r="490">
      <c r="A490" s="2">
        <v>5.51</v>
      </c>
      <c r="B490" s="2">
        <v>229.9</v>
      </c>
      <c r="C490" s="2">
        <v>829.7</v>
      </c>
      <c r="D490" s="2">
        <v>5.74</v>
      </c>
      <c r="E490" s="2">
        <v>0.66</v>
      </c>
      <c r="F490" s="2">
        <v>50.0</v>
      </c>
      <c r="G490" s="3">
        <v>44462.9126550463</v>
      </c>
      <c r="H490" s="5">
        <f>IFERROR(__xludf.DUMMYFUNCTION("SPLIT(G490,"","")"),44462.0)</f>
        <v>44462</v>
      </c>
      <c r="I490" s="6">
        <f>IFERROR(__xludf.DUMMYFUNCTION("""COMPUTED_VALUE"""),0.9126504629629629)</f>
        <v>0.912650463</v>
      </c>
    </row>
    <row r="491">
      <c r="A491" s="2">
        <v>5.51</v>
      </c>
      <c r="B491" s="2">
        <v>229.9</v>
      </c>
      <c r="C491" s="2">
        <v>830.0</v>
      </c>
      <c r="D491" s="2">
        <v>5.74</v>
      </c>
      <c r="E491" s="2">
        <v>0.66</v>
      </c>
      <c r="F491" s="2">
        <v>50.0</v>
      </c>
      <c r="G491" s="3">
        <v>44462.912760625</v>
      </c>
      <c r="H491" s="5">
        <f>IFERROR(__xludf.DUMMYFUNCTION("SPLIT(G491,"","")"),44462.0)</f>
        <v>44462</v>
      </c>
      <c r="I491" s="6">
        <f>IFERROR(__xludf.DUMMYFUNCTION("""COMPUTED_VALUE"""),0.9127662037037036)</f>
        <v>0.9127662037</v>
      </c>
    </row>
    <row r="492">
      <c r="A492" s="2">
        <v>5.5</v>
      </c>
      <c r="B492" s="2">
        <v>229.9</v>
      </c>
      <c r="C492" s="2">
        <v>830.2</v>
      </c>
      <c r="D492" s="2">
        <v>5.74</v>
      </c>
      <c r="E492" s="2">
        <v>0.66</v>
      </c>
      <c r="F492" s="2">
        <v>50.0</v>
      </c>
      <c r="G492" s="3">
        <v>44462.912869907406</v>
      </c>
      <c r="H492" s="5">
        <f>IFERROR(__xludf.DUMMYFUNCTION("SPLIT(G492,"","")"),44462.0)</f>
        <v>44462</v>
      </c>
      <c r="I492" s="6">
        <f>IFERROR(__xludf.DUMMYFUNCTION("""COMPUTED_VALUE"""),0.9128703703703703)</f>
        <v>0.9128703704</v>
      </c>
    </row>
    <row r="493">
      <c r="A493" s="2">
        <v>5.51</v>
      </c>
      <c r="B493" s="2">
        <v>229.8</v>
      </c>
      <c r="C493" s="2">
        <v>830.5</v>
      </c>
      <c r="D493" s="2">
        <v>5.75</v>
      </c>
      <c r="E493" s="2">
        <v>0.66</v>
      </c>
      <c r="F493" s="2">
        <v>50.0</v>
      </c>
      <c r="G493" s="3">
        <v>44462.91297795139</v>
      </c>
      <c r="H493" s="5">
        <f>IFERROR(__xludf.DUMMYFUNCTION("SPLIT(G493,"","")"),44462.0)</f>
        <v>44462</v>
      </c>
      <c r="I493" s="6">
        <f>IFERROR(__xludf.DUMMYFUNCTION("""COMPUTED_VALUE"""),0.912974537037037)</f>
        <v>0.912974537</v>
      </c>
    </row>
    <row r="494">
      <c r="A494" s="2">
        <v>5.51</v>
      </c>
      <c r="B494" s="2">
        <v>229.8</v>
      </c>
      <c r="C494" s="2">
        <v>830.6</v>
      </c>
      <c r="D494" s="2">
        <v>5.75</v>
      </c>
      <c r="E494" s="2">
        <v>0.66</v>
      </c>
      <c r="F494" s="2">
        <v>50.0</v>
      </c>
      <c r="G494" s="3">
        <v>44462.91307888889</v>
      </c>
      <c r="H494" s="5">
        <f>IFERROR(__xludf.DUMMYFUNCTION("SPLIT(G494,"","")"),44462.0)</f>
        <v>44462</v>
      </c>
      <c r="I494" s="6">
        <f>IFERROR(__xludf.DUMMYFUNCTION("""COMPUTED_VALUE"""),0.9130787037037037)</f>
        <v>0.9130787037</v>
      </c>
    </row>
    <row r="495">
      <c r="A495" s="2">
        <v>5.51</v>
      </c>
      <c r="B495" s="2">
        <v>229.7</v>
      </c>
      <c r="C495" s="2">
        <v>830.7</v>
      </c>
      <c r="D495" s="2">
        <v>5.75</v>
      </c>
      <c r="E495" s="2">
        <v>0.66</v>
      </c>
      <c r="F495" s="2">
        <v>49.9</v>
      </c>
      <c r="G495" s="3">
        <v>44462.91318027778</v>
      </c>
      <c r="H495" s="5">
        <f>IFERROR(__xludf.DUMMYFUNCTION("SPLIT(G495,"","")"),44462.0)</f>
        <v>44462</v>
      </c>
      <c r="I495" s="6">
        <f>IFERROR(__xludf.DUMMYFUNCTION("""COMPUTED_VALUE"""),0.9131828703703704)</f>
        <v>0.9131828704</v>
      </c>
    </row>
    <row r="496">
      <c r="A496" s="2">
        <v>5.52</v>
      </c>
      <c r="B496" s="2">
        <v>229.8</v>
      </c>
      <c r="C496" s="2">
        <v>830.9</v>
      </c>
      <c r="D496" s="2">
        <v>5.75</v>
      </c>
      <c r="E496" s="2">
        <v>0.66</v>
      </c>
      <c r="F496" s="2">
        <v>49.9</v>
      </c>
      <c r="G496" s="3">
        <v>44462.91328434028</v>
      </c>
      <c r="H496" s="5">
        <f>IFERROR(__xludf.DUMMYFUNCTION("SPLIT(G496,"","")"),44462.0)</f>
        <v>44462</v>
      </c>
      <c r="I496" s="6">
        <f>IFERROR(__xludf.DUMMYFUNCTION("""COMPUTED_VALUE"""),0.9132870370370371)</f>
        <v>0.913287037</v>
      </c>
    </row>
    <row r="497">
      <c r="A497" s="2">
        <v>5.52</v>
      </c>
      <c r="B497" s="2">
        <v>229.7</v>
      </c>
      <c r="C497" s="2">
        <v>831.1</v>
      </c>
      <c r="D497" s="2">
        <v>5.76</v>
      </c>
      <c r="E497" s="2">
        <v>0.66</v>
      </c>
      <c r="F497" s="2">
        <v>50.0</v>
      </c>
      <c r="G497" s="3">
        <v>44462.91338707176</v>
      </c>
      <c r="H497" s="5">
        <f>IFERROR(__xludf.DUMMYFUNCTION("SPLIT(G497,"","")"),44462.0)</f>
        <v>44462</v>
      </c>
      <c r="I497" s="6">
        <f>IFERROR(__xludf.DUMMYFUNCTION("""COMPUTED_VALUE"""),0.9133912037037037)</f>
        <v>0.9133912037</v>
      </c>
    </row>
    <row r="498">
      <c r="A498" s="2">
        <v>5.53</v>
      </c>
      <c r="B498" s="2">
        <v>229.6</v>
      </c>
      <c r="C498" s="2">
        <v>831.3</v>
      </c>
      <c r="D498" s="2">
        <v>5.76</v>
      </c>
      <c r="E498" s="2">
        <v>0.66</v>
      </c>
      <c r="F498" s="2">
        <v>50.0</v>
      </c>
      <c r="G498" s="3">
        <v>44462.9134887963</v>
      </c>
      <c r="H498" s="5">
        <f>IFERROR(__xludf.DUMMYFUNCTION("SPLIT(G498,"","")"),44462.0)</f>
        <v>44462</v>
      </c>
      <c r="I498" s="6">
        <f>IFERROR(__xludf.DUMMYFUNCTION("""COMPUTED_VALUE"""),0.9134837962962963)</f>
        <v>0.9134837963</v>
      </c>
    </row>
    <row r="499">
      <c r="A499" s="2">
        <v>5.53</v>
      </c>
      <c r="B499" s="2">
        <v>229.5</v>
      </c>
      <c r="C499" s="2">
        <v>831.5</v>
      </c>
      <c r="D499" s="2">
        <v>5.76</v>
      </c>
      <c r="E499" s="2">
        <v>0.66</v>
      </c>
      <c r="F499" s="2">
        <v>50.0</v>
      </c>
      <c r="G499" s="3">
        <v>44462.91359131945</v>
      </c>
      <c r="H499" s="5">
        <f>IFERROR(__xludf.DUMMYFUNCTION("SPLIT(G499,"","")"),44462.0)</f>
        <v>44462</v>
      </c>
      <c r="I499" s="6">
        <f>IFERROR(__xludf.DUMMYFUNCTION("""COMPUTED_VALUE"""),0.913587962962963)</f>
        <v>0.913587963</v>
      </c>
    </row>
    <row r="500">
      <c r="A500" s="2">
        <v>5.53</v>
      </c>
      <c r="B500" s="2">
        <v>229.5</v>
      </c>
      <c r="C500" s="2">
        <v>831.7</v>
      </c>
      <c r="D500" s="2">
        <v>5.76</v>
      </c>
      <c r="E500" s="2">
        <v>0.66</v>
      </c>
      <c r="F500" s="2">
        <v>50.0</v>
      </c>
      <c r="G500" s="3">
        <v>44462.91369880787</v>
      </c>
      <c r="H500" s="5">
        <f>IFERROR(__xludf.DUMMYFUNCTION("SPLIT(G500,"","")"),44462.0)</f>
        <v>44462</v>
      </c>
      <c r="I500" s="6">
        <f>IFERROR(__xludf.DUMMYFUNCTION("""COMPUTED_VALUE"""),0.9137037037037037)</f>
        <v>0.9137037037</v>
      </c>
    </row>
    <row r="501">
      <c r="A501" s="2">
        <v>5.63</v>
      </c>
      <c r="B501" s="2">
        <v>229.5</v>
      </c>
      <c r="C501" s="2">
        <v>831.8</v>
      </c>
      <c r="D501" s="2">
        <v>5.76</v>
      </c>
      <c r="E501" s="2">
        <v>0.64</v>
      </c>
      <c r="F501" s="2">
        <v>50.0</v>
      </c>
      <c r="G501" s="3">
        <v>44462.91381885417</v>
      </c>
      <c r="H501" s="5">
        <f>IFERROR(__xludf.DUMMYFUNCTION("SPLIT(G501,"","")"),44462.0)</f>
        <v>44462</v>
      </c>
      <c r="I501" s="6">
        <f>IFERROR(__xludf.DUMMYFUNCTION("""COMPUTED_VALUE"""),0.9138194444444444)</f>
        <v>0.9138194444</v>
      </c>
    </row>
    <row r="502">
      <c r="A502" s="2">
        <v>5.65</v>
      </c>
      <c r="B502" s="2">
        <v>229.8</v>
      </c>
      <c r="C502" s="2">
        <v>832.1</v>
      </c>
      <c r="D502" s="2">
        <v>5.77</v>
      </c>
      <c r="E502" s="2">
        <v>0.64</v>
      </c>
      <c r="F502" s="2">
        <v>50.0</v>
      </c>
      <c r="G502" s="3">
        <v>44462.91392648148</v>
      </c>
      <c r="H502" s="5">
        <f>IFERROR(__xludf.DUMMYFUNCTION("SPLIT(G502,"","")"),44462.0)</f>
        <v>44462</v>
      </c>
      <c r="I502" s="6">
        <f>IFERROR(__xludf.DUMMYFUNCTION("""COMPUTED_VALUE"""),0.9139236111111111)</f>
        <v>0.9139236111</v>
      </c>
    </row>
    <row r="503">
      <c r="A503" s="2">
        <v>5.65</v>
      </c>
      <c r="B503" s="2">
        <v>229.7</v>
      </c>
      <c r="C503" s="2">
        <v>832.3</v>
      </c>
      <c r="D503" s="2">
        <v>5.77</v>
      </c>
      <c r="E503" s="2">
        <v>0.64</v>
      </c>
      <c r="F503" s="2">
        <v>50.0</v>
      </c>
      <c r="G503" s="3">
        <v>44462.914032754634</v>
      </c>
      <c r="H503" s="5">
        <f>IFERROR(__xludf.DUMMYFUNCTION("SPLIT(G503,"","")"),44462.0)</f>
        <v>44462</v>
      </c>
      <c r="I503" s="6">
        <f>IFERROR(__xludf.DUMMYFUNCTION("""COMPUTED_VALUE"""),0.9140277777777778)</f>
        <v>0.9140277778</v>
      </c>
    </row>
    <row r="504">
      <c r="A504" s="2">
        <v>5.65</v>
      </c>
      <c r="B504" s="2">
        <v>229.8</v>
      </c>
      <c r="C504" s="2">
        <v>832.4</v>
      </c>
      <c r="D504" s="2">
        <v>5.77</v>
      </c>
      <c r="E504" s="2">
        <v>0.64</v>
      </c>
      <c r="F504" s="2">
        <v>50.0</v>
      </c>
      <c r="G504" s="3">
        <v>44462.914143587965</v>
      </c>
      <c r="H504" s="5">
        <f>IFERROR(__xludf.DUMMYFUNCTION("SPLIT(G504,"","")"),44462.0)</f>
        <v>44462</v>
      </c>
      <c r="I504" s="6">
        <f>IFERROR(__xludf.DUMMYFUNCTION("""COMPUTED_VALUE"""),0.9141435185185185)</f>
        <v>0.9141435185</v>
      </c>
    </row>
    <row r="505">
      <c r="A505" s="2">
        <v>5.65</v>
      </c>
      <c r="B505" s="2">
        <v>229.9</v>
      </c>
      <c r="C505" s="2">
        <v>832.7</v>
      </c>
      <c r="D505" s="2">
        <v>5.77</v>
      </c>
      <c r="E505" s="2">
        <v>0.64</v>
      </c>
      <c r="F505" s="2">
        <v>50.0</v>
      </c>
      <c r="G505" s="3">
        <v>44462.91425446759</v>
      </c>
      <c r="H505" s="5">
        <f>IFERROR(__xludf.DUMMYFUNCTION("SPLIT(G505,"","")"),44462.0)</f>
        <v>44462</v>
      </c>
      <c r="I505" s="6">
        <f>IFERROR(__xludf.DUMMYFUNCTION("""COMPUTED_VALUE"""),0.9142592592592592)</f>
        <v>0.9142592593</v>
      </c>
    </row>
    <row r="506">
      <c r="A506" s="2">
        <v>5.63</v>
      </c>
      <c r="B506" s="2">
        <v>230.1</v>
      </c>
      <c r="C506" s="2">
        <v>832.8</v>
      </c>
      <c r="D506" s="2">
        <v>5.78</v>
      </c>
      <c r="E506" s="2">
        <v>0.64</v>
      </c>
      <c r="F506" s="2">
        <v>50.0</v>
      </c>
      <c r="G506" s="3">
        <v>44462.91436111111</v>
      </c>
      <c r="H506" s="5">
        <f>IFERROR(__xludf.DUMMYFUNCTION("SPLIT(G506,"","")"),44462.0)</f>
        <v>44462</v>
      </c>
      <c r="I506" s="6">
        <f>IFERROR(__xludf.DUMMYFUNCTION("""COMPUTED_VALUE"""),0.9143634259259259)</f>
        <v>0.9143634259</v>
      </c>
    </row>
    <row r="507">
      <c r="A507" s="2">
        <v>5.63</v>
      </c>
      <c r="B507" s="2">
        <v>230.1</v>
      </c>
      <c r="C507" s="2">
        <v>833.0</v>
      </c>
      <c r="D507" s="2">
        <v>5.78</v>
      </c>
      <c r="E507" s="2">
        <v>0.64</v>
      </c>
      <c r="F507" s="2">
        <v>50.0</v>
      </c>
      <c r="G507" s="3">
        <v>44462.91446597222</v>
      </c>
      <c r="H507" s="5">
        <f>IFERROR(__xludf.DUMMYFUNCTION("SPLIT(G507,"","")"),44462.0)</f>
        <v>44462</v>
      </c>
      <c r="I507" s="6">
        <f>IFERROR(__xludf.DUMMYFUNCTION("""COMPUTED_VALUE"""),0.9144675925925926)</f>
        <v>0.9144675926</v>
      </c>
    </row>
    <row r="508">
      <c r="A508" s="2">
        <v>5.64</v>
      </c>
      <c r="B508" s="2">
        <v>230.1</v>
      </c>
      <c r="C508" s="2">
        <v>833.4</v>
      </c>
      <c r="D508" s="2">
        <v>5.78</v>
      </c>
      <c r="E508" s="2">
        <v>0.64</v>
      </c>
      <c r="F508" s="2">
        <v>50.0</v>
      </c>
      <c r="G508" s="3">
        <v>44462.91457300926</v>
      </c>
      <c r="H508" s="5">
        <f>IFERROR(__xludf.DUMMYFUNCTION("SPLIT(G508,"","")"),44462.0)</f>
        <v>44462</v>
      </c>
      <c r="I508" s="6">
        <f>IFERROR(__xludf.DUMMYFUNCTION("""COMPUTED_VALUE"""),0.9145717592592593)</f>
        <v>0.9145717593</v>
      </c>
    </row>
    <row r="509">
      <c r="A509" s="2">
        <v>5.64</v>
      </c>
      <c r="B509" s="2">
        <v>230.1</v>
      </c>
      <c r="C509" s="2">
        <v>833.5</v>
      </c>
      <c r="D509" s="2">
        <v>5.78</v>
      </c>
      <c r="E509" s="2">
        <v>0.64</v>
      </c>
      <c r="F509" s="2">
        <v>50.0</v>
      </c>
      <c r="G509" s="3">
        <v>44462.91467420138</v>
      </c>
      <c r="H509" s="5">
        <f>IFERROR(__xludf.DUMMYFUNCTION("SPLIT(G509,"","")"),44462.0)</f>
        <v>44462</v>
      </c>
      <c r="I509" s="6">
        <f>IFERROR(__xludf.DUMMYFUNCTION("""COMPUTED_VALUE"""),0.914675925925926)</f>
        <v>0.9146759259</v>
      </c>
    </row>
    <row r="510">
      <c r="A510" s="2">
        <v>5.65</v>
      </c>
      <c r="B510" s="2">
        <v>230.1</v>
      </c>
      <c r="C510" s="2">
        <v>833.7</v>
      </c>
      <c r="D510" s="2">
        <v>5.78</v>
      </c>
      <c r="E510" s="2">
        <v>0.64</v>
      </c>
      <c r="F510" s="2">
        <v>50.0</v>
      </c>
      <c r="G510" s="3">
        <v>44462.914774375</v>
      </c>
      <c r="H510" s="5">
        <f>IFERROR(__xludf.DUMMYFUNCTION("SPLIT(G510,"","")"),44462.0)</f>
        <v>44462</v>
      </c>
      <c r="I510" s="6">
        <f>IFERROR(__xludf.DUMMYFUNCTION("""COMPUTED_VALUE"""),0.9147800925925926)</f>
        <v>0.9147800926</v>
      </c>
    </row>
    <row r="511">
      <c r="A511" s="2">
        <v>5.65</v>
      </c>
      <c r="B511" s="2">
        <v>230.1</v>
      </c>
      <c r="C511" s="2">
        <v>833.9</v>
      </c>
      <c r="D511" s="2">
        <v>5.78</v>
      </c>
      <c r="E511" s="2">
        <v>0.64</v>
      </c>
      <c r="F511" s="2">
        <v>50.0</v>
      </c>
      <c r="G511" s="3">
        <v>44462.91487280093</v>
      </c>
      <c r="H511" s="5">
        <f>IFERROR(__xludf.DUMMYFUNCTION("SPLIT(G511,"","")"),44462.0)</f>
        <v>44462</v>
      </c>
      <c r="I511" s="6">
        <f>IFERROR(__xludf.DUMMYFUNCTION("""COMPUTED_VALUE"""),0.9148726851851852)</f>
        <v>0.9148726852</v>
      </c>
    </row>
    <row r="512">
      <c r="A512" s="2">
        <v>5.65</v>
      </c>
      <c r="B512" s="2">
        <v>230.1</v>
      </c>
      <c r="C512" s="2">
        <v>834.1</v>
      </c>
      <c r="D512" s="2">
        <v>5.79</v>
      </c>
      <c r="E512" s="2">
        <v>0.64</v>
      </c>
      <c r="F512" s="2">
        <v>50.0</v>
      </c>
      <c r="G512" s="3">
        <v>44462.91497387731</v>
      </c>
      <c r="H512" s="5">
        <f>IFERROR(__xludf.DUMMYFUNCTION("SPLIT(G512,"","")"),44462.0)</f>
        <v>44462</v>
      </c>
      <c r="I512" s="6">
        <f>IFERROR(__xludf.DUMMYFUNCTION("""COMPUTED_VALUE"""),0.9149768518518518)</f>
        <v>0.9149768519</v>
      </c>
    </row>
    <row r="513">
      <c r="A513" s="2">
        <v>5.64</v>
      </c>
      <c r="B513" s="2">
        <v>230.1</v>
      </c>
      <c r="C513" s="2">
        <v>834.5</v>
      </c>
      <c r="D513" s="2">
        <v>5.79</v>
      </c>
      <c r="E513" s="2">
        <v>0.64</v>
      </c>
      <c r="F513" s="2">
        <v>50.0</v>
      </c>
      <c r="G513" s="3">
        <v>44462.91507942129</v>
      </c>
      <c r="H513" s="5">
        <f>IFERROR(__xludf.DUMMYFUNCTION("SPLIT(G513,"","")"),44462.0)</f>
        <v>44462</v>
      </c>
      <c r="I513" s="6">
        <f>IFERROR(__xludf.DUMMYFUNCTION("""COMPUTED_VALUE"""),0.9150810185185185)</f>
        <v>0.9150810185</v>
      </c>
    </row>
    <row r="514">
      <c r="A514" s="2">
        <v>5.65</v>
      </c>
      <c r="B514" s="2">
        <v>230.0</v>
      </c>
      <c r="C514" s="2">
        <v>834.6</v>
      </c>
      <c r="D514" s="2">
        <v>5.79</v>
      </c>
      <c r="E514" s="2">
        <v>0.64</v>
      </c>
      <c r="F514" s="2">
        <v>50.0</v>
      </c>
      <c r="G514" s="3">
        <v>44462.91518030093</v>
      </c>
      <c r="H514" s="5">
        <f>IFERROR(__xludf.DUMMYFUNCTION("SPLIT(G514,"","")"),44462.0)</f>
        <v>44462</v>
      </c>
      <c r="I514" s="6">
        <f>IFERROR(__xludf.DUMMYFUNCTION("""COMPUTED_VALUE"""),0.9151851851851852)</f>
        <v>0.9151851852</v>
      </c>
    </row>
    <row r="515">
      <c r="A515" s="2">
        <v>5.65</v>
      </c>
      <c r="B515" s="2">
        <v>230.0</v>
      </c>
      <c r="C515" s="2">
        <v>834.8</v>
      </c>
      <c r="D515" s="2">
        <v>5.79</v>
      </c>
      <c r="E515" s="2">
        <v>0.64</v>
      </c>
      <c r="F515" s="2">
        <v>50.0</v>
      </c>
      <c r="G515" s="3">
        <v>44462.91528346065</v>
      </c>
      <c r="H515" s="5">
        <f>IFERROR(__xludf.DUMMYFUNCTION("SPLIT(G515,"","")"),44462.0)</f>
        <v>44462</v>
      </c>
      <c r="I515" s="6">
        <f>IFERROR(__xludf.DUMMYFUNCTION("""COMPUTED_VALUE"""),0.9152777777777777)</f>
        <v>0.9152777778</v>
      </c>
    </row>
    <row r="516">
      <c r="A516" s="2">
        <v>5.65</v>
      </c>
      <c r="B516" s="2">
        <v>230.1</v>
      </c>
      <c r="C516" s="2">
        <v>835.1</v>
      </c>
      <c r="D516" s="2">
        <v>5.8</v>
      </c>
      <c r="E516" s="2">
        <v>0.64</v>
      </c>
      <c r="F516" s="2">
        <v>50.0</v>
      </c>
      <c r="G516" s="3">
        <v>44462.91538747685</v>
      </c>
      <c r="H516" s="5">
        <f>IFERROR(__xludf.DUMMYFUNCTION("SPLIT(G516,"","")"),44462.0)</f>
        <v>44462</v>
      </c>
      <c r="I516" s="6">
        <f>IFERROR(__xludf.DUMMYFUNCTION("""COMPUTED_VALUE"""),0.9153819444444444)</f>
        <v>0.9153819444</v>
      </c>
    </row>
    <row r="517">
      <c r="A517" s="2">
        <v>5.64</v>
      </c>
      <c r="B517" s="2">
        <v>230.1</v>
      </c>
      <c r="C517" s="2">
        <v>835.1</v>
      </c>
      <c r="D517" s="2">
        <v>5.8</v>
      </c>
      <c r="E517" s="2">
        <v>0.64</v>
      </c>
      <c r="F517" s="2">
        <v>50.0</v>
      </c>
      <c r="G517" s="3">
        <v>44462.91549413194</v>
      </c>
      <c r="H517" s="5">
        <f>IFERROR(__xludf.DUMMYFUNCTION("SPLIT(G517,"","")"),44462.0)</f>
        <v>44462</v>
      </c>
      <c r="I517" s="6">
        <f>IFERROR(__xludf.DUMMYFUNCTION("""COMPUTED_VALUE"""),0.9154976851851852)</f>
        <v>0.9154976852</v>
      </c>
    </row>
    <row r="518">
      <c r="A518" s="2">
        <v>5.64</v>
      </c>
      <c r="B518" s="2">
        <v>230.1</v>
      </c>
      <c r="C518" s="2">
        <v>835.3</v>
      </c>
      <c r="D518" s="2">
        <v>5.8</v>
      </c>
      <c r="E518" s="2">
        <v>0.64</v>
      </c>
      <c r="F518" s="2">
        <v>50.0</v>
      </c>
      <c r="G518" s="3">
        <v>44462.915593784724</v>
      </c>
      <c r="H518" s="5">
        <f>IFERROR(__xludf.DUMMYFUNCTION("SPLIT(G518,"","")"),44462.0)</f>
        <v>44462</v>
      </c>
      <c r="I518" s="6">
        <f>IFERROR(__xludf.DUMMYFUNCTION("""COMPUTED_VALUE"""),0.9155902777777778)</f>
        <v>0.9155902778</v>
      </c>
    </row>
    <row r="519">
      <c r="A519" s="2">
        <v>5.64</v>
      </c>
      <c r="B519" s="2">
        <v>230.1</v>
      </c>
      <c r="C519" s="2">
        <v>835.6</v>
      </c>
      <c r="D519" s="2">
        <v>5.8</v>
      </c>
      <c r="E519" s="2">
        <v>0.64</v>
      </c>
      <c r="F519" s="2">
        <v>49.9</v>
      </c>
      <c r="G519" s="3">
        <v>44462.91569450231</v>
      </c>
      <c r="H519" s="5">
        <f>IFERROR(__xludf.DUMMYFUNCTION("SPLIT(G519,"","")"),44462.0)</f>
        <v>44462</v>
      </c>
      <c r="I519" s="6">
        <f>IFERROR(__xludf.DUMMYFUNCTION("""COMPUTED_VALUE"""),0.9156944444444445)</f>
        <v>0.9156944444</v>
      </c>
    </row>
    <row r="520">
      <c r="A520" s="2">
        <v>5.71</v>
      </c>
      <c r="B520" s="2">
        <v>229.1</v>
      </c>
      <c r="C520" s="2">
        <v>835.8</v>
      </c>
      <c r="D520" s="2">
        <v>5.8</v>
      </c>
      <c r="E520" s="2">
        <v>0.64</v>
      </c>
      <c r="F520" s="2">
        <v>50.0</v>
      </c>
      <c r="G520" s="3">
        <v>44462.915799490744</v>
      </c>
      <c r="H520" s="5">
        <f>IFERROR(__xludf.DUMMYFUNCTION("SPLIT(G520,"","")"),44462.0)</f>
        <v>44462</v>
      </c>
      <c r="I520" s="6">
        <f>IFERROR(__xludf.DUMMYFUNCTION("""COMPUTED_VALUE"""),0.9157986111111112)</f>
        <v>0.9157986111</v>
      </c>
    </row>
    <row r="521">
      <c r="A521" s="2">
        <v>5.72</v>
      </c>
      <c r="B521" s="2">
        <v>229.0</v>
      </c>
      <c r="C521" s="2">
        <v>836.0</v>
      </c>
      <c r="D521" s="2">
        <v>5.81</v>
      </c>
      <c r="E521" s="2">
        <v>0.64</v>
      </c>
      <c r="F521" s="2">
        <v>50.0</v>
      </c>
      <c r="G521" s="3">
        <v>44462.91590862269</v>
      </c>
      <c r="H521" s="5">
        <f>IFERROR(__xludf.DUMMYFUNCTION("SPLIT(G521,"","")"),44462.0)</f>
        <v>44462</v>
      </c>
      <c r="I521" s="6">
        <f>IFERROR(__xludf.DUMMYFUNCTION("""COMPUTED_VALUE"""),0.9159143518518519)</f>
        <v>0.9159143519</v>
      </c>
    </row>
    <row r="522">
      <c r="A522" s="2">
        <v>5.71</v>
      </c>
      <c r="B522" s="2">
        <v>229.0</v>
      </c>
      <c r="C522" s="2">
        <v>836.2</v>
      </c>
      <c r="D522" s="2">
        <v>5.81</v>
      </c>
      <c r="E522" s="2">
        <v>0.64</v>
      </c>
      <c r="F522" s="2">
        <v>50.0</v>
      </c>
      <c r="G522" s="3">
        <v>44462.916016793984</v>
      </c>
      <c r="H522" s="5">
        <f>IFERROR(__xludf.DUMMYFUNCTION("SPLIT(G522,"","")"),44462.0)</f>
        <v>44462</v>
      </c>
      <c r="I522" s="6">
        <f>IFERROR(__xludf.DUMMYFUNCTION("""COMPUTED_VALUE"""),0.9160185185185186)</f>
        <v>0.9160185185</v>
      </c>
    </row>
    <row r="523">
      <c r="A523" s="2">
        <v>5.71</v>
      </c>
      <c r="B523" s="2">
        <v>229.1</v>
      </c>
      <c r="C523" s="2">
        <v>836.4</v>
      </c>
      <c r="D523" s="2">
        <v>5.81</v>
      </c>
      <c r="E523" s="2">
        <v>0.64</v>
      </c>
      <c r="F523" s="2">
        <v>50.0</v>
      </c>
      <c r="G523" s="3">
        <v>44462.91612181713</v>
      </c>
      <c r="H523" s="5">
        <f>IFERROR(__xludf.DUMMYFUNCTION("SPLIT(G523,"","")"),44462.0)</f>
        <v>44462</v>
      </c>
      <c r="I523" s="6">
        <f>IFERROR(__xludf.DUMMYFUNCTION("""COMPUTED_VALUE"""),0.9161226851851851)</f>
        <v>0.9161226852</v>
      </c>
    </row>
    <row r="524">
      <c r="A524" s="2">
        <v>5.71</v>
      </c>
      <c r="B524" s="2">
        <v>229.4</v>
      </c>
      <c r="C524" s="2">
        <v>836.7</v>
      </c>
      <c r="D524" s="2">
        <v>5.81</v>
      </c>
      <c r="E524" s="2">
        <v>0.64</v>
      </c>
      <c r="F524" s="2">
        <v>50.0</v>
      </c>
      <c r="G524" s="3">
        <v>44462.916231759256</v>
      </c>
      <c r="H524" s="5">
        <f>IFERROR(__xludf.DUMMYFUNCTION("SPLIT(G524,"","")"),44462.0)</f>
        <v>44462</v>
      </c>
      <c r="I524" s="6">
        <f>IFERROR(__xludf.DUMMYFUNCTION("""COMPUTED_VALUE"""),0.9162268518518518)</f>
        <v>0.9162268519</v>
      </c>
    </row>
    <row r="525">
      <c r="A525" s="2">
        <v>5.71</v>
      </c>
      <c r="B525" s="2">
        <v>229.5</v>
      </c>
      <c r="C525" s="2">
        <v>836.9</v>
      </c>
      <c r="D525" s="2">
        <v>5.82</v>
      </c>
      <c r="E525" s="2">
        <v>0.64</v>
      </c>
      <c r="F525" s="2">
        <v>50.0</v>
      </c>
      <c r="G525" s="3">
        <v>44462.91633371528</v>
      </c>
      <c r="H525" s="5">
        <f>IFERROR(__xludf.DUMMYFUNCTION("SPLIT(G525,"","")"),44462.0)</f>
        <v>44462</v>
      </c>
      <c r="I525" s="6">
        <f>IFERROR(__xludf.DUMMYFUNCTION("""COMPUTED_VALUE"""),0.9163310185185185)</f>
        <v>0.9163310185</v>
      </c>
    </row>
    <row r="526">
      <c r="A526" s="2">
        <v>5.72</v>
      </c>
      <c r="B526" s="2">
        <v>229.5</v>
      </c>
      <c r="C526" s="2">
        <v>837.1</v>
      </c>
      <c r="D526" s="2">
        <v>5.82</v>
      </c>
      <c r="E526" s="2">
        <v>0.64</v>
      </c>
      <c r="F526" s="2">
        <v>50.0</v>
      </c>
      <c r="G526" s="3">
        <v>44462.916437418986</v>
      </c>
      <c r="H526" s="5">
        <f>IFERROR(__xludf.DUMMYFUNCTION("SPLIT(G526,"","")"),44462.0)</f>
        <v>44462</v>
      </c>
      <c r="I526" s="6">
        <f>IFERROR(__xludf.DUMMYFUNCTION("""COMPUTED_VALUE"""),0.9164351851851852)</f>
        <v>0.9164351852</v>
      </c>
    </row>
    <row r="527">
      <c r="A527" s="2">
        <v>5.59</v>
      </c>
      <c r="B527" s="2">
        <v>230.8</v>
      </c>
      <c r="C527" s="2">
        <v>837.5</v>
      </c>
      <c r="D527" s="2">
        <v>5.82</v>
      </c>
      <c r="E527" s="2">
        <v>0.65</v>
      </c>
      <c r="F527" s="2">
        <v>50.0</v>
      </c>
      <c r="G527" s="3">
        <v>44462.91654237268</v>
      </c>
      <c r="H527" s="5">
        <f>IFERROR(__xludf.DUMMYFUNCTION("SPLIT(G527,"","")"),44462.0)</f>
        <v>44462</v>
      </c>
      <c r="I527" s="6">
        <f>IFERROR(__xludf.DUMMYFUNCTION("""COMPUTED_VALUE"""),0.9165393518518519)</f>
        <v>0.9165393519</v>
      </c>
    </row>
    <row r="528">
      <c r="A528" s="2">
        <v>5.56</v>
      </c>
      <c r="B528" s="2">
        <v>230.8</v>
      </c>
      <c r="C528" s="2">
        <v>837.8</v>
      </c>
      <c r="D528" s="2">
        <v>5.82</v>
      </c>
      <c r="E528" s="2">
        <v>0.65</v>
      </c>
      <c r="F528" s="2">
        <v>50.0</v>
      </c>
      <c r="G528" s="3">
        <v>44462.91664368055</v>
      </c>
      <c r="H528" s="5">
        <f>IFERROR(__xludf.DUMMYFUNCTION("SPLIT(G528,"","")"),44462.0)</f>
        <v>44462</v>
      </c>
      <c r="I528" s="6">
        <f>IFERROR(__xludf.DUMMYFUNCTION("""COMPUTED_VALUE"""),0.9166435185185186)</f>
        <v>0.9166435185</v>
      </c>
    </row>
    <row r="529">
      <c r="A529" s="2">
        <v>5.55</v>
      </c>
      <c r="B529" s="2">
        <v>230.9</v>
      </c>
      <c r="C529" s="2">
        <v>838.2</v>
      </c>
      <c r="D529" s="2">
        <v>5.82</v>
      </c>
      <c r="E529" s="2">
        <v>0.65</v>
      </c>
      <c r="F529" s="2">
        <v>49.9</v>
      </c>
      <c r="G529" s="3">
        <v>44462.9167743287</v>
      </c>
      <c r="H529" s="5">
        <f>IFERROR(__xludf.DUMMYFUNCTION("SPLIT(G529,"","")"),44462.0)</f>
        <v>44462</v>
      </c>
      <c r="I529" s="6">
        <f>IFERROR(__xludf.DUMMYFUNCTION("""COMPUTED_VALUE"""),0.9167708333333333)</f>
        <v>0.9167708333</v>
      </c>
    </row>
    <row r="530">
      <c r="A530" s="2">
        <v>5.56</v>
      </c>
      <c r="B530" s="2">
        <v>230.8</v>
      </c>
      <c r="C530" s="2">
        <v>838.5</v>
      </c>
      <c r="D530" s="2">
        <v>5.82</v>
      </c>
      <c r="E530" s="2">
        <v>0.65</v>
      </c>
      <c r="F530" s="2">
        <v>49.9</v>
      </c>
      <c r="G530" s="3">
        <v>44462.91688532407</v>
      </c>
      <c r="H530" s="5">
        <f>IFERROR(__xludf.DUMMYFUNCTION("SPLIT(G530,"","")"),44462.0)</f>
        <v>44462</v>
      </c>
      <c r="I530" s="6">
        <f>IFERROR(__xludf.DUMMYFUNCTION("""COMPUTED_VALUE"""),0.916886574074074)</f>
        <v>0.9168865741</v>
      </c>
    </row>
    <row r="531">
      <c r="A531" s="2">
        <v>5.55</v>
      </c>
      <c r="B531" s="2">
        <v>230.8</v>
      </c>
      <c r="C531" s="2">
        <v>838.8</v>
      </c>
      <c r="D531" s="2">
        <v>5.83</v>
      </c>
      <c r="E531" s="2">
        <v>0.65</v>
      </c>
      <c r="F531" s="2">
        <v>49.9</v>
      </c>
      <c r="G531" s="3">
        <v>44462.91699048611</v>
      </c>
      <c r="H531" s="5">
        <f>IFERROR(__xludf.DUMMYFUNCTION("SPLIT(G531,"","")"),44462.0)</f>
        <v>44462</v>
      </c>
      <c r="I531" s="6">
        <f>IFERROR(__xludf.DUMMYFUNCTION("""COMPUTED_VALUE"""),0.9169907407407407)</f>
        <v>0.9169907407</v>
      </c>
    </row>
    <row r="532">
      <c r="A532" s="2">
        <v>5.56</v>
      </c>
      <c r="B532" s="2">
        <v>230.8</v>
      </c>
      <c r="C532" s="2">
        <v>839.1</v>
      </c>
      <c r="D532" s="2">
        <v>5.83</v>
      </c>
      <c r="E532" s="2">
        <v>0.65</v>
      </c>
      <c r="F532" s="2">
        <v>49.9</v>
      </c>
      <c r="G532" s="3">
        <v>44462.91709965278</v>
      </c>
      <c r="H532" s="5">
        <f>IFERROR(__xludf.DUMMYFUNCTION("SPLIT(G532,"","")"),44462.0)</f>
        <v>44462</v>
      </c>
      <c r="I532" s="6">
        <f>IFERROR(__xludf.DUMMYFUNCTION("""COMPUTED_VALUE"""),0.9170949074074074)</f>
        <v>0.9170949074</v>
      </c>
    </row>
    <row r="533">
      <c r="A533" s="2">
        <v>5.54</v>
      </c>
      <c r="B533" s="2">
        <v>231.0</v>
      </c>
      <c r="C533" s="2">
        <v>839.4</v>
      </c>
      <c r="D533" s="2">
        <v>5.83</v>
      </c>
      <c r="E533" s="2">
        <v>0.66</v>
      </c>
      <c r="F533" s="2">
        <v>50.0</v>
      </c>
      <c r="G533" s="3">
        <v>44462.917210590276</v>
      </c>
      <c r="H533" s="5">
        <f>IFERROR(__xludf.DUMMYFUNCTION("SPLIT(G533,"","")"),44462.0)</f>
        <v>44462</v>
      </c>
      <c r="I533" s="6">
        <f>IFERROR(__xludf.DUMMYFUNCTION("""COMPUTED_VALUE"""),0.9172106481481481)</f>
        <v>0.9172106481</v>
      </c>
    </row>
    <row r="534">
      <c r="A534" s="2">
        <v>5.55</v>
      </c>
      <c r="B534" s="2">
        <v>231.1</v>
      </c>
      <c r="C534" s="2">
        <v>839.7</v>
      </c>
      <c r="D534" s="2">
        <v>5.83</v>
      </c>
      <c r="E534" s="2">
        <v>0.65</v>
      </c>
      <c r="F534" s="2">
        <v>50.0</v>
      </c>
      <c r="G534" s="3">
        <v>44462.91731638889</v>
      </c>
      <c r="H534" s="5">
        <f>IFERROR(__xludf.DUMMYFUNCTION("SPLIT(G534,"","")"),44462.0)</f>
        <v>44462</v>
      </c>
      <c r="I534" s="6">
        <f>IFERROR(__xludf.DUMMYFUNCTION("""COMPUTED_VALUE"""),0.9173148148148148)</f>
        <v>0.9173148148</v>
      </c>
    </row>
    <row r="535">
      <c r="A535" s="2">
        <v>5.56</v>
      </c>
      <c r="B535" s="2">
        <v>231.2</v>
      </c>
      <c r="C535" s="2">
        <v>840.0</v>
      </c>
      <c r="D535" s="2">
        <v>5.84</v>
      </c>
      <c r="E535" s="2">
        <v>0.65</v>
      </c>
      <c r="F535" s="2">
        <v>50.0</v>
      </c>
      <c r="G535" s="3">
        <v>44462.9174311574</v>
      </c>
      <c r="H535" s="5">
        <f>IFERROR(__xludf.DUMMYFUNCTION("SPLIT(G535,"","")"),44462.0)</f>
        <v>44462</v>
      </c>
      <c r="I535" s="6">
        <f>IFERROR(__xludf.DUMMYFUNCTION("""COMPUTED_VALUE"""),0.9174305555555555)</f>
        <v>0.9174305556</v>
      </c>
    </row>
    <row r="536">
      <c r="A536" s="2">
        <v>5.57</v>
      </c>
      <c r="B536" s="2">
        <v>231.0</v>
      </c>
      <c r="C536" s="2">
        <v>840.2</v>
      </c>
      <c r="D536" s="2">
        <v>5.84</v>
      </c>
      <c r="E536" s="2">
        <v>0.65</v>
      </c>
      <c r="F536" s="2">
        <v>50.0</v>
      </c>
      <c r="G536" s="3">
        <v>44462.91754201389</v>
      </c>
      <c r="H536" s="5">
        <f>IFERROR(__xludf.DUMMYFUNCTION("SPLIT(G536,"","")"),44462.0)</f>
        <v>44462</v>
      </c>
      <c r="I536" s="6">
        <f>IFERROR(__xludf.DUMMYFUNCTION("""COMPUTED_VALUE"""),0.9175462962962962)</f>
        <v>0.9175462963</v>
      </c>
    </row>
    <row r="537">
      <c r="A537" s="2">
        <v>5.57</v>
      </c>
      <c r="B537" s="2">
        <v>231.1</v>
      </c>
      <c r="C537" s="2">
        <v>840.5</v>
      </c>
      <c r="D537" s="2">
        <v>5.84</v>
      </c>
      <c r="E537" s="2">
        <v>0.65</v>
      </c>
      <c r="F537" s="2">
        <v>50.0</v>
      </c>
      <c r="G537" s="3">
        <v>44462.91765069445</v>
      </c>
      <c r="H537" s="5">
        <f>IFERROR(__xludf.DUMMYFUNCTION("SPLIT(G537,"","")"),44462.0)</f>
        <v>44462</v>
      </c>
      <c r="I537" s="6">
        <f>IFERROR(__xludf.DUMMYFUNCTION("""COMPUTED_VALUE"""),0.9176504629629629)</f>
        <v>0.917650463</v>
      </c>
    </row>
    <row r="538">
      <c r="A538" s="2">
        <v>5.58</v>
      </c>
      <c r="B538" s="2">
        <v>231.0</v>
      </c>
      <c r="C538" s="2">
        <v>840.7</v>
      </c>
      <c r="D538" s="2">
        <v>5.84</v>
      </c>
      <c r="E538" s="2">
        <v>0.65</v>
      </c>
      <c r="F538" s="2">
        <v>50.0</v>
      </c>
      <c r="G538" s="3">
        <v>44462.917751967594</v>
      </c>
      <c r="H538" s="5">
        <f>IFERROR(__xludf.DUMMYFUNCTION("SPLIT(G538,"","")"),44462.0)</f>
        <v>44462</v>
      </c>
      <c r="I538" s="6">
        <f>IFERROR(__xludf.DUMMYFUNCTION("""COMPUTED_VALUE"""),0.9177546296296296)</f>
        <v>0.9177546296</v>
      </c>
    </row>
    <row r="539">
      <c r="A539" s="2">
        <v>5.57</v>
      </c>
      <c r="B539" s="2">
        <v>231.0</v>
      </c>
      <c r="C539" s="2">
        <v>840.8</v>
      </c>
      <c r="D539" s="2">
        <v>5.84</v>
      </c>
      <c r="E539" s="2">
        <v>0.65</v>
      </c>
      <c r="F539" s="2">
        <v>49.9</v>
      </c>
      <c r="G539" s="3">
        <v>44462.91785809028</v>
      </c>
      <c r="H539" s="5">
        <f>IFERROR(__xludf.DUMMYFUNCTION("SPLIT(G539,"","")"),44462.0)</f>
        <v>44462</v>
      </c>
      <c r="I539" s="6">
        <f>IFERROR(__xludf.DUMMYFUNCTION("""COMPUTED_VALUE"""),0.9178587962962963)</f>
        <v>0.9178587963</v>
      </c>
    </row>
    <row r="540">
      <c r="A540" s="2">
        <v>5.57</v>
      </c>
      <c r="B540" s="2">
        <v>231.0</v>
      </c>
      <c r="C540" s="2">
        <v>841.0</v>
      </c>
      <c r="D540" s="2">
        <v>5.85</v>
      </c>
      <c r="E540" s="2">
        <v>0.65</v>
      </c>
      <c r="F540" s="2">
        <v>49.9</v>
      </c>
      <c r="G540" s="3">
        <v>44462.917961238425</v>
      </c>
      <c r="H540" s="5">
        <f>IFERROR(__xludf.DUMMYFUNCTION("SPLIT(G540,"","")"),44462.0)</f>
        <v>44462</v>
      </c>
      <c r="I540" s="6">
        <f>IFERROR(__xludf.DUMMYFUNCTION("""COMPUTED_VALUE"""),0.917962962962963)</f>
        <v>0.917962963</v>
      </c>
    </row>
    <row r="541">
      <c r="A541" s="2">
        <v>5.57</v>
      </c>
      <c r="B541" s="2">
        <v>231.0</v>
      </c>
      <c r="C541" s="2">
        <v>841.3</v>
      </c>
      <c r="D541" s="2">
        <v>5.85</v>
      </c>
      <c r="E541" s="2">
        <v>0.65</v>
      </c>
      <c r="F541" s="2">
        <v>49.9</v>
      </c>
      <c r="G541" s="3">
        <v>44462.9180783912</v>
      </c>
      <c r="H541" s="5">
        <f>IFERROR(__xludf.DUMMYFUNCTION("SPLIT(G541,"","")"),44462.0)</f>
        <v>44462</v>
      </c>
      <c r="I541" s="6">
        <f>IFERROR(__xludf.DUMMYFUNCTION("""COMPUTED_VALUE"""),0.9180787037037037)</f>
        <v>0.9180787037</v>
      </c>
    </row>
    <row r="542">
      <c r="A542" s="2">
        <v>5.58</v>
      </c>
      <c r="B542" s="2">
        <v>231.0</v>
      </c>
      <c r="C542" s="2">
        <v>841.6</v>
      </c>
      <c r="D542" s="2">
        <v>5.85</v>
      </c>
      <c r="E542" s="2">
        <v>0.65</v>
      </c>
      <c r="F542" s="2">
        <v>49.9</v>
      </c>
      <c r="G542" s="3">
        <v>44462.91832039352</v>
      </c>
      <c r="H542" s="5">
        <f>IFERROR(__xludf.DUMMYFUNCTION("SPLIT(G542,"","")"),44462.0)</f>
        <v>44462</v>
      </c>
      <c r="I542" s="6">
        <f>IFERROR(__xludf.DUMMYFUNCTION("""COMPUTED_VALUE"""),0.9183217592592593)</f>
        <v>0.9183217593</v>
      </c>
    </row>
    <row r="543">
      <c r="A543" s="2">
        <v>5.59</v>
      </c>
      <c r="B543" s="2">
        <v>230.8</v>
      </c>
      <c r="C543" s="2">
        <v>842.1</v>
      </c>
      <c r="D543" s="2">
        <v>5.86</v>
      </c>
      <c r="E543" s="2">
        <v>0.65</v>
      </c>
      <c r="F543" s="2">
        <v>49.9</v>
      </c>
      <c r="G543" s="3">
        <v>44462.91842952547</v>
      </c>
      <c r="H543" s="5">
        <f>IFERROR(__xludf.DUMMYFUNCTION("SPLIT(G543,"","")"),44462.0)</f>
        <v>44462</v>
      </c>
      <c r="I543" s="6">
        <f>IFERROR(__xludf.DUMMYFUNCTION("""COMPUTED_VALUE"""),0.918425925925926)</f>
        <v>0.9184259259</v>
      </c>
    </row>
    <row r="544">
      <c r="A544" s="2">
        <v>5.61</v>
      </c>
      <c r="B544" s="2">
        <v>230.1</v>
      </c>
      <c r="C544" s="2">
        <v>842.1</v>
      </c>
      <c r="D544" s="2">
        <v>5.86</v>
      </c>
      <c r="E544" s="2">
        <v>0.65</v>
      </c>
      <c r="F544" s="2">
        <v>49.9</v>
      </c>
      <c r="G544" s="3">
        <v>44462.918533749995</v>
      </c>
      <c r="H544" s="5">
        <f>IFERROR(__xludf.DUMMYFUNCTION("SPLIT(G544,"","")"),44462.0)</f>
        <v>44462</v>
      </c>
      <c r="I544" s="6">
        <f>IFERROR(__xludf.DUMMYFUNCTION("""COMPUTED_VALUE"""),0.9185300925925926)</f>
        <v>0.9185300926</v>
      </c>
    </row>
    <row r="545">
      <c r="A545" s="2">
        <v>5.67</v>
      </c>
      <c r="B545" s="2">
        <v>229.0</v>
      </c>
      <c r="C545" s="2">
        <v>842.5</v>
      </c>
      <c r="D545" s="2">
        <v>5.86</v>
      </c>
      <c r="E545" s="2">
        <v>0.65</v>
      </c>
      <c r="F545" s="2">
        <v>49.9</v>
      </c>
      <c r="G545" s="3">
        <v>44462.918639525466</v>
      </c>
      <c r="H545" s="5">
        <f>IFERROR(__xludf.DUMMYFUNCTION("SPLIT(G545,"","")"),44462.0)</f>
        <v>44462</v>
      </c>
      <c r="I545" s="6">
        <f>IFERROR(__xludf.DUMMYFUNCTION("""COMPUTED_VALUE"""),0.9186342592592592)</f>
        <v>0.9186342593</v>
      </c>
    </row>
    <row r="546">
      <c r="A546" s="2">
        <v>5.67</v>
      </c>
      <c r="B546" s="2">
        <v>229.1</v>
      </c>
      <c r="C546" s="2">
        <v>842.6</v>
      </c>
      <c r="D546" s="2">
        <v>5.86</v>
      </c>
      <c r="E546" s="2">
        <v>0.65</v>
      </c>
      <c r="F546" s="2">
        <v>49.9</v>
      </c>
      <c r="G546" s="3">
        <v>44462.91874483797</v>
      </c>
      <c r="H546" s="5">
        <f>IFERROR(__xludf.DUMMYFUNCTION("SPLIT(G546,"","")"),44462.0)</f>
        <v>44462</v>
      </c>
      <c r="I546" s="6">
        <f>IFERROR(__xludf.DUMMYFUNCTION("""COMPUTED_VALUE"""),0.91875)</f>
        <v>0.91875</v>
      </c>
    </row>
    <row r="547">
      <c r="A547" s="2">
        <v>5.67</v>
      </c>
      <c r="B547" s="2">
        <v>229.2</v>
      </c>
      <c r="C547" s="2">
        <v>842.9</v>
      </c>
      <c r="D547" s="2">
        <v>5.87</v>
      </c>
      <c r="E547" s="2">
        <v>0.65</v>
      </c>
      <c r="F547" s="2">
        <v>49.9</v>
      </c>
      <c r="G547" s="3">
        <v>44462.918899212964</v>
      </c>
      <c r="H547" s="5">
        <f>IFERROR(__xludf.DUMMYFUNCTION("SPLIT(G547,"","")"),44462.0)</f>
        <v>44462</v>
      </c>
      <c r="I547" s="6">
        <f>IFERROR(__xludf.DUMMYFUNCTION("""COMPUTED_VALUE"""),0.918900462962963)</f>
        <v>0.918900463</v>
      </c>
    </row>
    <row r="548">
      <c r="A548" s="2">
        <v>5.67</v>
      </c>
      <c r="B548" s="2">
        <v>229.1</v>
      </c>
      <c r="C548" s="2">
        <v>843.2</v>
      </c>
      <c r="D548" s="2">
        <v>5.87</v>
      </c>
      <c r="E548" s="2">
        <v>0.65</v>
      </c>
      <c r="F548" s="2">
        <v>49.9</v>
      </c>
      <c r="G548" s="3">
        <v>44462.919003159725</v>
      </c>
      <c r="H548" s="5">
        <f>IFERROR(__xludf.DUMMYFUNCTION("SPLIT(G548,"","")"),44462.0)</f>
        <v>44462</v>
      </c>
      <c r="I548" s="6">
        <f>IFERROR(__xludf.DUMMYFUNCTION("""COMPUTED_VALUE"""),0.9190046296296296)</f>
        <v>0.9190046296</v>
      </c>
    </row>
    <row r="549">
      <c r="A549" s="2">
        <v>5.67</v>
      </c>
      <c r="B549" s="2">
        <v>229.2</v>
      </c>
      <c r="C549" s="2">
        <v>843.5</v>
      </c>
      <c r="D549" s="2">
        <v>5.87</v>
      </c>
      <c r="E549" s="2">
        <v>0.65</v>
      </c>
      <c r="F549" s="2">
        <v>50.0</v>
      </c>
      <c r="G549" s="3">
        <v>44462.91910726852</v>
      </c>
      <c r="H549" s="5">
        <f>IFERROR(__xludf.DUMMYFUNCTION("SPLIT(G549,"","")"),44462.0)</f>
        <v>44462</v>
      </c>
      <c r="I549" s="6">
        <f>IFERROR(__xludf.DUMMYFUNCTION("""COMPUTED_VALUE"""),0.9191087962962963)</f>
        <v>0.9191087963</v>
      </c>
    </row>
    <row r="550">
      <c r="A550" s="2">
        <v>5.68</v>
      </c>
      <c r="B550" s="2">
        <v>229.2</v>
      </c>
      <c r="C550" s="2">
        <v>843.7</v>
      </c>
      <c r="D550" s="2">
        <v>5.87</v>
      </c>
      <c r="E550" s="2">
        <v>0.65</v>
      </c>
      <c r="F550" s="2">
        <v>49.9</v>
      </c>
      <c r="G550" s="3">
        <v>44462.91920991898</v>
      </c>
      <c r="H550" s="5">
        <f>IFERROR(__xludf.DUMMYFUNCTION("SPLIT(G550,"","")"),44462.0)</f>
        <v>44462</v>
      </c>
      <c r="I550" s="6">
        <f>IFERROR(__xludf.DUMMYFUNCTION("""COMPUTED_VALUE"""),0.919212962962963)</f>
        <v>0.919212963</v>
      </c>
    </row>
    <row r="551">
      <c r="A551" s="2">
        <v>5.7</v>
      </c>
      <c r="B551" s="2">
        <v>229.0</v>
      </c>
      <c r="C551" s="2">
        <v>843.9</v>
      </c>
      <c r="D551" s="2">
        <v>5.88</v>
      </c>
      <c r="E551" s="2">
        <v>0.65</v>
      </c>
      <c r="F551" s="2">
        <v>49.9</v>
      </c>
      <c r="G551" s="3">
        <v>44462.91931516204</v>
      </c>
      <c r="H551" s="5">
        <f>IFERROR(__xludf.DUMMYFUNCTION("SPLIT(G551,"","")"),44462.0)</f>
        <v>44462</v>
      </c>
      <c r="I551" s="6">
        <f>IFERROR(__xludf.DUMMYFUNCTION("""COMPUTED_VALUE"""),0.9193171296296296)</f>
        <v>0.9193171296</v>
      </c>
    </row>
    <row r="552">
      <c r="A552" s="2">
        <v>5.69</v>
      </c>
      <c r="B552" s="2">
        <v>229.1</v>
      </c>
      <c r="C552" s="2">
        <v>844.1</v>
      </c>
      <c r="D552" s="2">
        <v>5.88</v>
      </c>
      <c r="E552" s="2">
        <v>0.65</v>
      </c>
      <c r="F552" s="2">
        <v>50.0</v>
      </c>
      <c r="G552" s="3">
        <v>44462.919422349536</v>
      </c>
      <c r="H552" s="5">
        <f>IFERROR(__xludf.DUMMYFUNCTION("SPLIT(G552,"","")"),44462.0)</f>
        <v>44462</v>
      </c>
      <c r="I552" s="6">
        <f>IFERROR(__xludf.DUMMYFUNCTION("""COMPUTED_VALUE"""),0.9194212962962963)</f>
        <v>0.9194212963</v>
      </c>
    </row>
    <row r="553">
      <c r="A553" s="2">
        <v>5.69</v>
      </c>
      <c r="B553" s="2">
        <v>229.1</v>
      </c>
      <c r="C553" s="2">
        <v>844.3</v>
      </c>
      <c r="D553" s="2">
        <v>5.88</v>
      </c>
      <c r="E553" s="2">
        <v>0.65</v>
      </c>
      <c r="F553" s="2">
        <v>49.9</v>
      </c>
      <c r="G553" s="3">
        <v>44462.9195229051</v>
      </c>
      <c r="H553" s="5">
        <f>IFERROR(__xludf.DUMMYFUNCTION("SPLIT(G553,"","")"),44462.0)</f>
        <v>44462</v>
      </c>
      <c r="I553" s="6">
        <f>IFERROR(__xludf.DUMMYFUNCTION("""COMPUTED_VALUE"""),0.919525462962963)</f>
        <v>0.919525463</v>
      </c>
    </row>
    <row r="554">
      <c r="A554" s="2">
        <v>5.69</v>
      </c>
      <c r="B554" s="2">
        <v>229.1</v>
      </c>
      <c r="C554" s="2">
        <v>844.5</v>
      </c>
      <c r="D554" s="2">
        <v>5.88</v>
      </c>
      <c r="E554" s="2">
        <v>0.65</v>
      </c>
      <c r="F554" s="2">
        <v>50.0</v>
      </c>
      <c r="G554" s="3">
        <v>44462.91962996528</v>
      </c>
      <c r="H554" s="5">
        <f>IFERROR(__xludf.DUMMYFUNCTION("SPLIT(G554,"","")"),44462.0)</f>
        <v>44462</v>
      </c>
      <c r="I554" s="6">
        <f>IFERROR(__xludf.DUMMYFUNCTION("""COMPUTED_VALUE"""),0.9196296296296296)</f>
        <v>0.9196296296</v>
      </c>
    </row>
    <row r="555">
      <c r="A555" s="2">
        <v>5.68</v>
      </c>
      <c r="B555" s="2">
        <v>229.2</v>
      </c>
      <c r="C555" s="2">
        <v>844.8</v>
      </c>
      <c r="D555" s="2">
        <v>5.88</v>
      </c>
      <c r="E555" s="2">
        <v>0.65</v>
      </c>
      <c r="F555" s="2">
        <v>50.0</v>
      </c>
      <c r="G555" s="3">
        <v>44462.919736701384</v>
      </c>
      <c r="H555" s="5">
        <f>IFERROR(__xludf.DUMMYFUNCTION("SPLIT(G555,"","")"),44462.0)</f>
        <v>44462</v>
      </c>
      <c r="I555" s="6">
        <f>IFERROR(__xludf.DUMMYFUNCTION("""COMPUTED_VALUE"""),0.9197337962962963)</f>
        <v>0.9197337963</v>
      </c>
    </row>
    <row r="556">
      <c r="A556" s="2">
        <v>5.7</v>
      </c>
      <c r="B556" s="2">
        <v>228.9</v>
      </c>
      <c r="C556" s="2">
        <v>845.0</v>
      </c>
      <c r="D556" s="2">
        <v>5.89</v>
      </c>
      <c r="E556" s="2">
        <v>0.65</v>
      </c>
      <c r="F556" s="2">
        <v>49.9</v>
      </c>
      <c r="G556" s="3">
        <v>44462.919836597226</v>
      </c>
      <c r="H556" s="5">
        <f>IFERROR(__xludf.DUMMYFUNCTION("SPLIT(G556,"","")"),44462.0)</f>
        <v>44462</v>
      </c>
      <c r="I556" s="6">
        <f>IFERROR(__xludf.DUMMYFUNCTION("""COMPUTED_VALUE"""),0.9198379629629629)</f>
        <v>0.919837963</v>
      </c>
    </row>
    <row r="557">
      <c r="A557" s="2">
        <v>5.7</v>
      </c>
      <c r="B557" s="2">
        <v>228.7</v>
      </c>
      <c r="C557" s="2">
        <v>845.3</v>
      </c>
      <c r="D557" s="2">
        <v>5.89</v>
      </c>
      <c r="E557" s="2">
        <v>0.65</v>
      </c>
      <c r="F557" s="2">
        <v>49.9</v>
      </c>
      <c r="G557" s="3">
        <v>44462.91996130787</v>
      </c>
      <c r="H557" s="5">
        <f>IFERROR(__xludf.DUMMYFUNCTION("SPLIT(G557,"","")"),44462.0)</f>
        <v>44462</v>
      </c>
      <c r="I557" s="6">
        <f>IFERROR(__xludf.DUMMYFUNCTION("""COMPUTED_VALUE"""),0.9199652777777778)</f>
        <v>0.9199652778</v>
      </c>
    </row>
    <row r="558">
      <c r="A558" s="2">
        <v>5.7</v>
      </c>
      <c r="B558" s="2">
        <v>228.9</v>
      </c>
      <c r="C558" s="2">
        <v>845.5</v>
      </c>
      <c r="D558" s="2">
        <v>5.89</v>
      </c>
      <c r="E558" s="2">
        <v>0.65</v>
      </c>
      <c r="F558" s="2">
        <v>49.9</v>
      </c>
      <c r="G558" s="3">
        <v>44462.92006292824</v>
      </c>
      <c r="H558" s="5">
        <f>IFERROR(__xludf.DUMMYFUNCTION("SPLIT(G558,"","")"),44462.0)</f>
        <v>44462</v>
      </c>
      <c r="I558" s="6">
        <f>IFERROR(__xludf.DUMMYFUNCTION("""COMPUTED_VALUE"""),0.9200578703703703)</f>
        <v>0.9200578704</v>
      </c>
    </row>
    <row r="559">
      <c r="A559" s="2">
        <v>5.7</v>
      </c>
      <c r="B559" s="2">
        <v>228.8</v>
      </c>
      <c r="C559" s="2">
        <v>845.7</v>
      </c>
      <c r="D559" s="2">
        <v>5.89</v>
      </c>
      <c r="E559" s="2">
        <v>0.65</v>
      </c>
      <c r="F559" s="2">
        <v>49.9</v>
      </c>
      <c r="G559" s="3">
        <v>44462.92016649306</v>
      </c>
      <c r="H559" s="5">
        <f>IFERROR(__xludf.DUMMYFUNCTION("SPLIT(G559,"","")"),44462.0)</f>
        <v>44462</v>
      </c>
      <c r="I559" s="6">
        <f>IFERROR(__xludf.DUMMYFUNCTION("""COMPUTED_VALUE"""),0.920162037037037)</f>
        <v>0.920162037</v>
      </c>
    </row>
    <row r="560">
      <c r="A560" s="2">
        <v>5.7</v>
      </c>
      <c r="B560" s="2">
        <v>228.9</v>
      </c>
      <c r="C560" s="2">
        <v>846.0</v>
      </c>
      <c r="D560" s="2">
        <v>5.89</v>
      </c>
      <c r="E560" s="2">
        <v>0.65</v>
      </c>
      <c r="F560" s="2">
        <v>49.9</v>
      </c>
      <c r="G560" s="3">
        <v>44462.920267187495</v>
      </c>
      <c r="H560" s="5">
        <f>IFERROR(__xludf.DUMMYFUNCTION("SPLIT(G560,"","")"),44462.0)</f>
        <v>44462</v>
      </c>
      <c r="I560" s="6">
        <f>IFERROR(__xludf.DUMMYFUNCTION("""COMPUTED_VALUE"""),0.9202662037037037)</f>
        <v>0.9202662037</v>
      </c>
    </row>
    <row r="561">
      <c r="A561" s="2">
        <v>5.71</v>
      </c>
      <c r="B561" s="2">
        <v>228.7</v>
      </c>
      <c r="C561" s="2">
        <v>846.1</v>
      </c>
      <c r="D561" s="2">
        <v>5.9</v>
      </c>
      <c r="E561" s="2">
        <v>0.65</v>
      </c>
      <c r="F561" s="2">
        <v>49.9</v>
      </c>
      <c r="G561" s="3">
        <v>44462.92036857639</v>
      </c>
      <c r="H561" s="5">
        <f>IFERROR(__xludf.DUMMYFUNCTION("SPLIT(G561,"","")"),44462.0)</f>
        <v>44462</v>
      </c>
      <c r="I561" s="6">
        <f>IFERROR(__xludf.DUMMYFUNCTION("""COMPUTED_VALUE"""),0.9203703703703704)</f>
        <v>0.9203703704</v>
      </c>
    </row>
    <row r="562">
      <c r="A562" s="2">
        <v>5.72</v>
      </c>
      <c r="B562" s="2">
        <v>228.8</v>
      </c>
      <c r="C562" s="2">
        <v>846.2</v>
      </c>
      <c r="D562" s="2">
        <v>5.9</v>
      </c>
      <c r="E562" s="2">
        <v>0.65</v>
      </c>
      <c r="F562" s="2">
        <v>49.9</v>
      </c>
      <c r="G562" s="3">
        <v>44462.92047295139</v>
      </c>
      <c r="H562" s="5">
        <f>IFERROR(__xludf.DUMMYFUNCTION("SPLIT(G562,"","")"),44462.0)</f>
        <v>44462</v>
      </c>
      <c r="I562" s="6">
        <f>IFERROR(__xludf.DUMMYFUNCTION("""COMPUTED_VALUE"""),0.9204745370370371)</f>
        <v>0.920474537</v>
      </c>
    </row>
    <row r="563">
      <c r="A563" s="2">
        <v>5.73</v>
      </c>
      <c r="B563" s="2">
        <v>229.0</v>
      </c>
      <c r="C563" s="2">
        <v>846.7</v>
      </c>
      <c r="D563" s="2">
        <v>5.9</v>
      </c>
      <c r="E563" s="2">
        <v>0.65</v>
      </c>
      <c r="F563" s="2">
        <v>49.9</v>
      </c>
      <c r="G563" s="3">
        <v>44462.92058365741</v>
      </c>
      <c r="H563" s="5">
        <f>IFERROR(__xludf.DUMMYFUNCTION("SPLIT(G563,"","")"),44462.0)</f>
        <v>44462</v>
      </c>
      <c r="I563" s="6">
        <f>IFERROR(__xludf.DUMMYFUNCTION("""COMPUTED_VALUE"""),0.9205787037037036)</f>
        <v>0.9205787037</v>
      </c>
    </row>
    <row r="564">
      <c r="A564" s="2">
        <v>5.72</v>
      </c>
      <c r="B564" s="2">
        <v>228.8</v>
      </c>
      <c r="C564" s="2">
        <v>846.9</v>
      </c>
      <c r="D564" s="2">
        <v>5.9</v>
      </c>
      <c r="E564" s="2">
        <v>0.65</v>
      </c>
      <c r="F564" s="2">
        <v>50.0</v>
      </c>
      <c r="G564" s="3">
        <v>44462.92069287037</v>
      </c>
      <c r="H564" s="5">
        <f>IFERROR(__xludf.DUMMYFUNCTION("SPLIT(G564,"","")"),44462.0)</f>
        <v>44462</v>
      </c>
      <c r="I564" s="6">
        <f>IFERROR(__xludf.DUMMYFUNCTION("""COMPUTED_VALUE"""),0.9206944444444445)</f>
        <v>0.9206944444</v>
      </c>
    </row>
    <row r="565">
      <c r="A565" s="2">
        <v>5.71</v>
      </c>
      <c r="B565" s="2">
        <v>229.1</v>
      </c>
      <c r="C565" s="2">
        <v>847.1</v>
      </c>
      <c r="D565" s="2">
        <v>5.91</v>
      </c>
      <c r="E565" s="2">
        <v>0.65</v>
      </c>
      <c r="F565" s="2">
        <v>50.0</v>
      </c>
      <c r="G565" s="3">
        <v>44462.920798611114</v>
      </c>
      <c r="H565" s="5">
        <f>IFERROR(__xludf.DUMMYFUNCTION("SPLIT(G565,"","")"),44462.0)</f>
        <v>44462</v>
      </c>
      <c r="I565" s="6">
        <f>IFERROR(__xludf.DUMMYFUNCTION("""COMPUTED_VALUE"""),0.9207986111111112)</f>
        <v>0.9207986111</v>
      </c>
    </row>
    <row r="566">
      <c r="A566" s="2">
        <v>5.72</v>
      </c>
      <c r="B566" s="2">
        <v>228.9</v>
      </c>
      <c r="C566" s="2">
        <v>847.3</v>
      </c>
      <c r="D566" s="2">
        <v>5.91</v>
      </c>
      <c r="E566" s="2">
        <v>0.65</v>
      </c>
      <c r="F566" s="2">
        <v>49.9</v>
      </c>
      <c r="G566" s="3">
        <v>44462.920904432875</v>
      </c>
      <c r="H566" s="5">
        <f>IFERROR(__xludf.DUMMYFUNCTION("SPLIT(G566,"","")"),44462.0)</f>
        <v>44462</v>
      </c>
      <c r="I566" s="6">
        <f>IFERROR(__xludf.DUMMYFUNCTION("""COMPUTED_VALUE"""),0.9209027777777777)</f>
        <v>0.9209027778</v>
      </c>
    </row>
    <row r="567">
      <c r="A567" s="2">
        <v>5.72</v>
      </c>
      <c r="B567" s="2">
        <v>229.0</v>
      </c>
      <c r="C567" s="2">
        <v>847.5</v>
      </c>
      <c r="D567" s="2">
        <v>5.91</v>
      </c>
      <c r="E567" s="2">
        <v>0.65</v>
      </c>
      <c r="F567" s="2">
        <v>49.9</v>
      </c>
      <c r="G567" s="3">
        <v>44462.92100614583</v>
      </c>
      <c r="H567" s="5">
        <f>IFERROR(__xludf.DUMMYFUNCTION("SPLIT(G567,"","")"),44462.0)</f>
        <v>44462</v>
      </c>
      <c r="I567" s="6">
        <f>IFERROR(__xludf.DUMMYFUNCTION("""COMPUTED_VALUE"""),0.9210069444444444)</f>
        <v>0.9210069444</v>
      </c>
    </row>
    <row r="568">
      <c r="A568" s="2">
        <v>5.74</v>
      </c>
      <c r="B568" s="2">
        <v>229.0</v>
      </c>
      <c r="C568" s="2">
        <v>847.8</v>
      </c>
      <c r="D568" s="2">
        <v>5.91</v>
      </c>
      <c r="E568" s="2">
        <v>0.65</v>
      </c>
      <c r="F568" s="2">
        <v>49.9</v>
      </c>
      <c r="G568" s="3">
        <v>44462.92110767361</v>
      </c>
      <c r="H568" s="5">
        <f>IFERROR(__xludf.DUMMYFUNCTION("SPLIT(G568,"","")"),44462.0)</f>
        <v>44462</v>
      </c>
      <c r="I568" s="6">
        <f>IFERROR(__xludf.DUMMYFUNCTION("""COMPUTED_VALUE"""),0.9211111111111111)</f>
        <v>0.9211111111</v>
      </c>
    </row>
    <row r="569">
      <c r="A569" s="2">
        <v>5.75</v>
      </c>
      <c r="B569" s="2">
        <v>228.5</v>
      </c>
      <c r="C569" s="2">
        <v>847.6</v>
      </c>
      <c r="D569" s="2">
        <v>5.91</v>
      </c>
      <c r="E569" s="2">
        <v>0.65</v>
      </c>
      <c r="F569" s="2">
        <v>49.9</v>
      </c>
      <c r="G569" s="3">
        <v>44462.921204618055</v>
      </c>
      <c r="H569" s="5">
        <f>IFERROR(__xludf.DUMMYFUNCTION("SPLIT(G569,"","")"),44462.0)</f>
        <v>44462</v>
      </c>
      <c r="I569" s="6">
        <f>IFERROR(__xludf.DUMMYFUNCTION("""COMPUTED_VALUE"""),0.9212037037037037)</f>
        <v>0.9212037037</v>
      </c>
    </row>
    <row r="570">
      <c r="A570" s="2">
        <v>5.72</v>
      </c>
      <c r="B570" s="2">
        <v>229.0</v>
      </c>
      <c r="C570" s="2">
        <v>848.1</v>
      </c>
      <c r="D570" s="2">
        <v>5.91</v>
      </c>
      <c r="E570" s="2">
        <v>0.65</v>
      </c>
      <c r="F570" s="2">
        <v>49.9</v>
      </c>
      <c r="G570" s="3">
        <v>44462.9213009375</v>
      </c>
      <c r="H570" s="5">
        <f>IFERROR(__xludf.DUMMYFUNCTION("SPLIT(G570,"","")"),44462.0)</f>
        <v>44462</v>
      </c>
      <c r="I570" s="6">
        <f>IFERROR(__xludf.DUMMYFUNCTION("""COMPUTED_VALUE"""),0.9212962962962963)</f>
        <v>0.9212962963</v>
      </c>
    </row>
    <row r="571">
      <c r="A571" s="2">
        <v>5.73</v>
      </c>
      <c r="B571" s="2">
        <v>228.9</v>
      </c>
      <c r="C571" s="2">
        <v>848.4</v>
      </c>
      <c r="D571" s="2">
        <v>5.92</v>
      </c>
      <c r="E571" s="2">
        <v>0.65</v>
      </c>
      <c r="F571" s="2">
        <v>50.0</v>
      </c>
      <c r="G571" s="3">
        <v>44462.921400439816</v>
      </c>
      <c r="H571" s="5">
        <f>IFERROR(__xludf.DUMMYFUNCTION("SPLIT(G571,"","")"),44462.0)</f>
        <v>44462</v>
      </c>
      <c r="I571" s="6">
        <f>IFERROR(__xludf.DUMMYFUNCTION("""COMPUTED_VALUE"""),0.921400462962963)</f>
        <v>0.921400463</v>
      </c>
    </row>
    <row r="572">
      <c r="A572" s="2">
        <v>5.72</v>
      </c>
      <c r="B572" s="2">
        <v>229.1</v>
      </c>
      <c r="C572" s="2">
        <v>848.6</v>
      </c>
      <c r="D572" s="2">
        <v>5.92</v>
      </c>
      <c r="E572" s="2">
        <v>0.65</v>
      </c>
      <c r="F572" s="2">
        <v>49.9</v>
      </c>
      <c r="G572" s="3">
        <v>44462.92150460648</v>
      </c>
      <c r="H572" s="5">
        <f>IFERROR(__xludf.DUMMYFUNCTION("SPLIT(G572,"","")"),44462.0)</f>
        <v>44462</v>
      </c>
      <c r="I572" s="6">
        <f>IFERROR(__xludf.DUMMYFUNCTION("""COMPUTED_VALUE"""),0.9215046296296296)</f>
        <v>0.9215046296</v>
      </c>
    </row>
    <row r="573">
      <c r="A573" s="2">
        <v>5.74</v>
      </c>
      <c r="B573" s="2">
        <v>228.9</v>
      </c>
      <c r="C573" s="2">
        <v>849.0</v>
      </c>
      <c r="D573" s="2">
        <v>5.92</v>
      </c>
      <c r="E573" s="2">
        <v>0.65</v>
      </c>
      <c r="F573" s="2">
        <v>50.0</v>
      </c>
      <c r="G573" s="3">
        <v>44462.921609259254</v>
      </c>
      <c r="H573" s="5">
        <f>IFERROR(__xludf.DUMMYFUNCTION("SPLIT(G573,"","")"),44462.0)</f>
        <v>44462</v>
      </c>
      <c r="I573" s="6">
        <f>IFERROR(__xludf.DUMMYFUNCTION("""COMPUTED_VALUE"""),0.9216087962962963)</f>
        <v>0.9216087963</v>
      </c>
    </row>
    <row r="574">
      <c r="A574" s="2">
        <v>5.73</v>
      </c>
      <c r="B574" s="2">
        <v>229.1</v>
      </c>
      <c r="C574" s="2">
        <v>849.1</v>
      </c>
      <c r="D574" s="2">
        <v>5.92</v>
      </c>
      <c r="E574" s="2">
        <v>0.65</v>
      </c>
      <c r="F574" s="2">
        <v>49.9</v>
      </c>
      <c r="G574" s="3">
        <v>44462.92170761574</v>
      </c>
      <c r="H574" s="5">
        <f>IFERROR(__xludf.DUMMYFUNCTION("SPLIT(G574,"","")"),44462.0)</f>
        <v>44462</v>
      </c>
      <c r="I574" s="6">
        <f>IFERROR(__xludf.DUMMYFUNCTION("""COMPUTED_VALUE"""),0.921712962962963)</f>
        <v>0.921712963</v>
      </c>
    </row>
    <row r="575">
      <c r="A575" s="2">
        <v>5.73</v>
      </c>
      <c r="B575" s="2">
        <v>228.9</v>
      </c>
      <c r="C575" s="2">
        <v>849.6</v>
      </c>
      <c r="D575" s="2">
        <v>5.93</v>
      </c>
      <c r="E575" s="2">
        <v>0.65</v>
      </c>
      <c r="F575" s="2">
        <v>49.9</v>
      </c>
      <c r="G575" s="3">
        <v>44462.92181399306</v>
      </c>
      <c r="H575" s="5">
        <f>IFERROR(__xludf.DUMMYFUNCTION("SPLIT(G575,"","")"),44462.0)</f>
        <v>44462</v>
      </c>
      <c r="I575" s="6">
        <f>IFERROR(__xludf.DUMMYFUNCTION("""COMPUTED_VALUE"""),0.9218171296296296)</f>
        <v>0.9218171296</v>
      </c>
    </row>
    <row r="576">
      <c r="A576" s="2">
        <v>5.73</v>
      </c>
      <c r="B576" s="2">
        <v>228.8</v>
      </c>
      <c r="C576" s="2">
        <v>849.7</v>
      </c>
      <c r="D576" s="2">
        <v>5.93</v>
      </c>
      <c r="E576" s="2">
        <v>0.65</v>
      </c>
      <c r="F576" s="2">
        <v>49.9</v>
      </c>
      <c r="G576" s="3">
        <v>44462.92191239583</v>
      </c>
      <c r="H576" s="5">
        <f>IFERROR(__xludf.DUMMYFUNCTION("SPLIT(G576,"","")"),44462.0)</f>
        <v>44462</v>
      </c>
      <c r="I576" s="6">
        <f>IFERROR(__xludf.DUMMYFUNCTION("""COMPUTED_VALUE"""),0.9219097222222222)</f>
        <v>0.9219097222</v>
      </c>
    </row>
    <row r="577">
      <c r="A577" s="2">
        <v>5.72</v>
      </c>
      <c r="B577" s="2">
        <v>229.1</v>
      </c>
      <c r="C577" s="2">
        <v>849.9</v>
      </c>
      <c r="D577" s="2">
        <v>5.93</v>
      </c>
      <c r="E577" s="2">
        <v>0.65</v>
      </c>
      <c r="F577" s="2">
        <v>49.9</v>
      </c>
      <c r="G577" s="3">
        <v>44462.922015335644</v>
      </c>
      <c r="H577" s="5">
        <f>IFERROR(__xludf.DUMMYFUNCTION("SPLIT(G577,"","")"),44462.0)</f>
        <v>44462</v>
      </c>
      <c r="I577" s="6">
        <f>IFERROR(__xludf.DUMMYFUNCTION("""COMPUTED_VALUE"""),0.9220138888888889)</f>
        <v>0.9220138889</v>
      </c>
    </row>
    <row r="578">
      <c r="A578" s="2">
        <v>5.74</v>
      </c>
      <c r="B578" s="2">
        <v>229.1</v>
      </c>
      <c r="C578" s="2">
        <v>850.1</v>
      </c>
      <c r="D578" s="2">
        <v>5.93</v>
      </c>
      <c r="E578" s="2">
        <v>0.65</v>
      </c>
      <c r="F578" s="2">
        <v>49.9</v>
      </c>
      <c r="G578" s="3">
        <v>44462.92212043982</v>
      </c>
      <c r="H578" s="5">
        <f>IFERROR(__xludf.DUMMYFUNCTION("SPLIT(G578,"","")"),44462.0)</f>
        <v>44462</v>
      </c>
      <c r="I578" s="6">
        <f>IFERROR(__xludf.DUMMYFUNCTION("""COMPUTED_VALUE"""),0.9221180555555556)</f>
        <v>0.9221180556</v>
      </c>
    </row>
    <row r="579">
      <c r="A579" s="2">
        <v>5.73</v>
      </c>
      <c r="B579" s="2">
        <v>229.2</v>
      </c>
      <c r="C579" s="2">
        <v>850.4</v>
      </c>
      <c r="D579" s="2">
        <v>5.93</v>
      </c>
      <c r="E579" s="2">
        <v>0.65</v>
      </c>
      <c r="F579" s="2">
        <v>50.0</v>
      </c>
      <c r="G579" s="3">
        <v>44462.92223173611</v>
      </c>
      <c r="H579" s="5">
        <f>IFERROR(__xludf.DUMMYFUNCTION("SPLIT(G579,"","")"),44462.0)</f>
        <v>44462</v>
      </c>
      <c r="I579" s="6">
        <f>IFERROR(__xludf.DUMMYFUNCTION("""COMPUTED_VALUE"""),0.9222337962962963)</f>
        <v>0.9222337963</v>
      </c>
    </row>
    <row r="580">
      <c r="A580" s="2">
        <v>5.73</v>
      </c>
      <c r="B580" s="2">
        <v>229.1</v>
      </c>
      <c r="C580" s="2">
        <v>850.6</v>
      </c>
      <c r="D580" s="2">
        <v>5.94</v>
      </c>
      <c r="E580" s="2">
        <v>0.65</v>
      </c>
      <c r="F580" s="2">
        <v>50.0</v>
      </c>
      <c r="G580" s="3">
        <v>44462.9223412963</v>
      </c>
      <c r="H580" s="5">
        <f>IFERROR(__xludf.DUMMYFUNCTION("SPLIT(G580,"","")"),44462.0)</f>
        <v>44462</v>
      </c>
      <c r="I580" s="6">
        <f>IFERROR(__xludf.DUMMYFUNCTION("""COMPUTED_VALUE"""),0.922337962962963)</f>
        <v>0.922337963</v>
      </c>
    </row>
    <row r="581">
      <c r="A581" s="2">
        <v>5.72</v>
      </c>
      <c r="B581" s="2">
        <v>229.3</v>
      </c>
      <c r="C581" s="2">
        <v>851.0</v>
      </c>
      <c r="D581" s="2">
        <v>5.94</v>
      </c>
      <c r="E581" s="2">
        <v>0.65</v>
      </c>
      <c r="F581" s="2">
        <v>50.0</v>
      </c>
      <c r="G581" s="3">
        <v>44462.92244553241</v>
      </c>
      <c r="H581" s="5">
        <f>IFERROR(__xludf.DUMMYFUNCTION("SPLIT(G581,"","")"),44462.0)</f>
        <v>44462</v>
      </c>
      <c r="I581" s="6">
        <f>IFERROR(__xludf.DUMMYFUNCTION("""COMPUTED_VALUE"""),0.9224421296296297)</f>
        <v>0.9224421296</v>
      </c>
    </row>
    <row r="582">
      <c r="A582" s="2">
        <v>5.77</v>
      </c>
      <c r="B582" s="2">
        <v>229.4</v>
      </c>
      <c r="C582" s="2">
        <v>851.2</v>
      </c>
      <c r="D582" s="2">
        <v>5.94</v>
      </c>
      <c r="E582" s="2">
        <v>0.64</v>
      </c>
      <c r="F582" s="2">
        <v>50.0</v>
      </c>
      <c r="G582" s="3">
        <v>44462.92256601852</v>
      </c>
      <c r="H582" s="5">
        <f>IFERROR(__xludf.DUMMYFUNCTION("SPLIT(G582,"","")"),44462.0)</f>
        <v>44462</v>
      </c>
      <c r="I582" s="6">
        <f>IFERROR(__xludf.DUMMYFUNCTION("""COMPUTED_VALUE"""),0.9225694444444444)</f>
        <v>0.9225694444</v>
      </c>
    </row>
    <row r="583">
      <c r="A583" s="2">
        <v>5.77</v>
      </c>
      <c r="B583" s="2">
        <v>229.4</v>
      </c>
      <c r="C583" s="2">
        <v>851.5</v>
      </c>
      <c r="D583" s="2">
        <v>5.94</v>
      </c>
      <c r="E583" s="2">
        <v>0.64</v>
      </c>
      <c r="F583" s="2">
        <v>50.0</v>
      </c>
      <c r="G583" s="3">
        <v>44462.92266848379</v>
      </c>
      <c r="H583" s="5">
        <f>IFERROR(__xludf.DUMMYFUNCTION("SPLIT(G583,"","")"),44462.0)</f>
        <v>44462</v>
      </c>
      <c r="I583" s="6">
        <f>IFERROR(__xludf.DUMMYFUNCTION("""COMPUTED_VALUE"""),0.9226736111111111)</f>
        <v>0.9226736111</v>
      </c>
    </row>
    <row r="584">
      <c r="A584" s="2">
        <v>5.78</v>
      </c>
      <c r="B584" s="2">
        <v>229.3</v>
      </c>
      <c r="C584" s="2">
        <v>851.7</v>
      </c>
      <c r="D584" s="2">
        <v>5.95</v>
      </c>
      <c r="E584" s="2">
        <v>0.64</v>
      </c>
      <c r="F584" s="2">
        <v>50.0</v>
      </c>
      <c r="G584" s="3">
        <v>44462.922768495366</v>
      </c>
      <c r="H584" s="5">
        <f>IFERROR(__xludf.DUMMYFUNCTION("SPLIT(G584,"","")"),44462.0)</f>
        <v>44462</v>
      </c>
      <c r="I584" s="6">
        <f>IFERROR(__xludf.DUMMYFUNCTION("""COMPUTED_VALUE"""),0.9227662037037037)</f>
        <v>0.9227662037</v>
      </c>
    </row>
    <row r="585">
      <c r="A585" s="2">
        <v>5.79</v>
      </c>
      <c r="B585" s="2">
        <v>229.0</v>
      </c>
      <c r="C585" s="2">
        <v>851.9</v>
      </c>
      <c r="D585" s="2">
        <v>5.95</v>
      </c>
      <c r="E585" s="2">
        <v>0.64</v>
      </c>
      <c r="F585" s="2">
        <v>50.0</v>
      </c>
      <c r="G585" s="3">
        <v>44462.922874282405</v>
      </c>
      <c r="H585" s="5">
        <f>IFERROR(__xludf.DUMMYFUNCTION("SPLIT(G585,"","")"),44462.0)</f>
        <v>44462</v>
      </c>
      <c r="I585" s="6">
        <f>IFERROR(__xludf.DUMMYFUNCTION("""COMPUTED_VALUE"""),0.9228703703703703)</f>
        <v>0.9228703704</v>
      </c>
    </row>
    <row r="586">
      <c r="A586" s="2">
        <v>5.79</v>
      </c>
      <c r="B586" s="2">
        <v>229.1</v>
      </c>
      <c r="C586" s="2">
        <v>852.2</v>
      </c>
      <c r="D586" s="2">
        <v>5.95</v>
      </c>
      <c r="E586" s="2">
        <v>0.64</v>
      </c>
      <c r="F586" s="2">
        <v>50.0</v>
      </c>
      <c r="G586" s="3">
        <v>44462.922981365744</v>
      </c>
      <c r="H586" s="5">
        <f>IFERROR(__xludf.DUMMYFUNCTION("SPLIT(G586,"","")"),44462.0)</f>
        <v>44462</v>
      </c>
      <c r="I586" s="6">
        <f>IFERROR(__xludf.DUMMYFUNCTION("""COMPUTED_VALUE"""),0.9229861111111111)</f>
        <v>0.9229861111</v>
      </c>
    </row>
    <row r="587">
      <c r="A587" s="2">
        <v>5.79</v>
      </c>
      <c r="B587" s="2">
        <v>229.1</v>
      </c>
      <c r="C587" s="2">
        <v>852.3</v>
      </c>
      <c r="D587" s="2">
        <v>5.95</v>
      </c>
      <c r="E587" s="2">
        <v>0.64</v>
      </c>
      <c r="F587" s="2">
        <v>50.0</v>
      </c>
      <c r="G587" s="3">
        <v>44462.923085752314</v>
      </c>
      <c r="H587" s="5">
        <f>IFERROR(__xludf.DUMMYFUNCTION("SPLIT(G587,"","")"),44462.0)</f>
        <v>44462</v>
      </c>
      <c r="I587" s="6">
        <f>IFERROR(__xludf.DUMMYFUNCTION("""COMPUTED_VALUE"""),0.9230902777777777)</f>
        <v>0.9230902778</v>
      </c>
    </row>
    <row r="588">
      <c r="A588" s="2">
        <v>5.8</v>
      </c>
      <c r="B588" s="2">
        <v>229.0</v>
      </c>
      <c r="C588" s="2">
        <v>852.7</v>
      </c>
      <c r="D588" s="2">
        <v>5.95</v>
      </c>
      <c r="E588" s="2">
        <v>0.64</v>
      </c>
      <c r="F588" s="2">
        <v>49.9</v>
      </c>
      <c r="G588" s="3">
        <v>44462.92319265046</v>
      </c>
      <c r="H588" s="5">
        <f>IFERROR(__xludf.DUMMYFUNCTION("SPLIT(G588,"","")"),44462.0)</f>
        <v>44462</v>
      </c>
      <c r="I588" s="6">
        <f>IFERROR(__xludf.DUMMYFUNCTION("""COMPUTED_VALUE"""),0.9231944444444444)</f>
        <v>0.9231944444</v>
      </c>
    </row>
    <row r="589">
      <c r="A589" s="2">
        <v>5.8</v>
      </c>
      <c r="B589" s="2">
        <v>228.9</v>
      </c>
      <c r="C589" s="2">
        <v>852.8</v>
      </c>
      <c r="D589" s="2">
        <v>5.96</v>
      </c>
      <c r="E589" s="2">
        <v>0.64</v>
      </c>
      <c r="F589" s="2">
        <v>49.9</v>
      </c>
      <c r="G589" s="3">
        <v>44462.92329203704</v>
      </c>
      <c r="H589" s="5">
        <f>IFERROR(__xludf.DUMMYFUNCTION("SPLIT(G589,"","")"),44462.0)</f>
        <v>44462</v>
      </c>
      <c r="I589" s="6">
        <f>IFERROR(__xludf.DUMMYFUNCTION("""COMPUTED_VALUE"""),0.9232870370370371)</f>
        <v>0.923287037</v>
      </c>
    </row>
    <row r="590">
      <c r="A590" s="2">
        <v>5.8</v>
      </c>
      <c r="B590" s="2">
        <v>229.1</v>
      </c>
      <c r="C590" s="2">
        <v>853.3</v>
      </c>
      <c r="D590" s="2">
        <v>5.96</v>
      </c>
      <c r="E590" s="2">
        <v>0.64</v>
      </c>
      <c r="F590" s="2">
        <v>49.9</v>
      </c>
      <c r="G590" s="3">
        <v>44462.92339231481</v>
      </c>
      <c r="H590" s="5">
        <f>IFERROR(__xludf.DUMMYFUNCTION("SPLIT(G590,"","")"),44462.0)</f>
        <v>44462</v>
      </c>
      <c r="I590" s="6">
        <f>IFERROR(__xludf.DUMMYFUNCTION("""COMPUTED_VALUE"""),0.9233912037037038)</f>
        <v>0.9233912037</v>
      </c>
    </row>
    <row r="591">
      <c r="A591" s="2">
        <v>5.8</v>
      </c>
      <c r="B591" s="2">
        <v>229.2</v>
      </c>
      <c r="C591" s="2">
        <v>853.5</v>
      </c>
      <c r="D591" s="2">
        <v>5.96</v>
      </c>
      <c r="E591" s="2">
        <v>0.64</v>
      </c>
      <c r="F591" s="2">
        <v>49.9</v>
      </c>
      <c r="G591" s="3">
        <v>44462.9234965625</v>
      </c>
      <c r="H591" s="5">
        <f>IFERROR(__xludf.DUMMYFUNCTION("SPLIT(G591,"","")"),44462.0)</f>
        <v>44462</v>
      </c>
      <c r="I591" s="6">
        <f>IFERROR(__xludf.DUMMYFUNCTION("""COMPUTED_VALUE"""),0.9234953703703703)</f>
        <v>0.9234953704</v>
      </c>
    </row>
    <row r="592">
      <c r="A592" s="2">
        <v>5.79</v>
      </c>
      <c r="B592" s="2">
        <v>229.3</v>
      </c>
      <c r="C592" s="2">
        <v>853.6</v>
      </c>
      <c r="D592" s="2">
        <v>5.96</v>
      </c>
      <c r="E592" s="2">
        <v>0.64</v>
      </c>
      <c r="F592" s="2">
        <v>49.9</v>
      </c>
      <c r="G592" s="3">
        <v>44462.92360378472</v>
      </c>
      <c r="H592" s="5">
        <f>IFERROR(__xludf.DUMMYFUNCTION("SPLIT(G592,"","")"),44462.0)</f>
        <v>44462</v>
      </c>
      <c r="I592" s="6">
        <f>IFERROR(__xludf.DUMMYFUNCTION("""COMPUTED_VALUE"""),0.923599537037037)</f>
        <v>0.923599537</v>
      </c>
    </row>
    <row r="593">
      <c r="A593" s="2">
        <v>5.8</v>
      </c>
      <c r="B593" s="2">
        <v>229.3</v>
      </c>
      <c r="C593" s="2">
        <v>853.9</v>
      </c>
      <c r="D593" s="2">
        <v>5.96</v>
      </c>
      <c r="E593" s="2">
        <v>0.64</v>
      </c>
      <c r="F593" s="2">
        <v>50.0</v>
      </c>
      <c r="G593" s="3">
        <v>44462.92371239583</v>
      </c>
      <c r="H593" s="5">
        <f>IFERROR(__xludf.DUMMYFUNCTION("SPLIT(G593,"","")"),44462.0)</f>
        <v>44462</v>
      </c>
      <c r="I593" s="6">
        <f>IFERROR(__xludf.DUMMYFUNCTION("""COMPUTED_VALUE"""),0.9237152777777777)</f>
        <v>0.9237152778</v>
      </c>
    </row>
    <row r="594">
      <c r="A594" s="2">
        <v>5.76</v>
      </c>
      <c r="B594" s="2">
        <v>230.0</v>
      </c>
      <c r="C594" s="2">
        <v>854.1</v>
      </c>
      <c r="D594" s="2">
        <v>5.97</v>
      </c>
      <c r="E594" s="2">
        <v>0.65</v>
      </c>
      <c r="F594" s="2">
        <v>50.0</v>
      </c>
      <c r="G594" s="3">
        <v>44462.92381482639</v>
      </c>
      <c r="H594" s="5">
        <f>IFERROR(__xludf.DUMMYFUNCTION("SPLIT(G594,"","")"),44462.0)</f>
        <v>44462</v>
      </c>
      <c r="I594" s="6">
        <f>IFERROR(__xludf.DUMMYFUNCTION("""COMPUTED_VALUE"""),0.9238194444444444)</f>
        <v>0.9238194444</v>
      </c>
    </row>
    <row r="595">
      <c r="A595" s="2">
        <v>5.78</v>
      </c>
      <c r="B595" s="2">
        <v>229.7</v>
      </c>
      <c r="C595" s="2">
        <v>854.4</v>
      </c>
      <c r="D595" s="2">
        <v>5.97</v>
      </c>
      <c r="E595" s="2">
        <v>0.64</v>
      </c>
      <c r="F595" s="2">
        <v>49.9</v>
      </c>
      <c r="G595" s="3">
        <v>44462.923921574074</v>
      </c>
      <c r="H595" s="5">
        <f>IFERROR(__xludf.DUMMYFUNCTION("SPLIT(G595,"","")"),44462.0)</f>
        <v>44462</v>
      </c>
      <c r="I595" s="6">
        <f>IFERROR(__xludf.DUMMYFUNCTION("""COMPUTED_VALUE"""),0.9239236111111111)</f>
        <v>0.9239236111</v>
      </c>
    </row>
    <row r="596">
      <c r="A596" s="2">
        <v>5.77</v>
      </c>
      <c r="B596" s="2">
        <v>229.6</v>
      </c>
      <c r="C596" s="2">
        <v>854.7</v>
      </c>
      <c r="D596" s="2">
        <v>5.97</v>
      </c>
      <c r="E596" s="2">
        <v>0.64</v>
      </c>
      <c r="F596" s="2">
        <v>49.9</v>
      </c>
      <c r="G596" s="3">
        <v>44462.924027615736</v>
      </c>
      <c r="H596" s="5">
        <f>IFERROR(__xludf.DUMMYFUNCTION("SPLIT(G596,"","")"),44462.0)</f>
        <v>44462</v>
      </c>
      <c r="I596" s="6">
        <f>IFERROR(__xludf.DUMMYFUNCTION("""COMPUTED_VALUE"""),0.9240277777777778)</f>
        <v>0.9240277778</v>
      </c>
    </row>
    <row r="597">
      <c r="A597" s="2">
        <v>5.77</v>
      </c>
      <c r="B597" s="2">
        <v>229.6</v>
      </c>
      <c r="C597" s="2">
        <v>854.8</v>
      </c>
      <c r="D597" s="2">
        <v>5.97</v>
      </c>
      <c r="E597" s="2">
        <v>0.64</v>
      </c>
      <c r="F597" s="2">
        <v>50.0</v>
      </c>
      <c r="G597" s="3">
        <v>44462.92413172453</v>
      </c>
      <c r="H597" s="5">
        <f>IFERROR(__xludf.DUMMYFUNCTION("SPLIT(G597,"","")"),44462.0)</f>
        <v>44462</v>
      </c>
      <c r="I597" s="6">
        <f>IFERROR(__xludf.DUMMYFUNCTION("""COMPUTED_VALUE"""),0.9241319444444445)</f>
        <v>0.9241319444</v>
      </c>
    </row>
    <row r="598">
      <c r="A598" s="2">
        <v>5.78</v>
      </c>
      <c r="B598" s="2">
        <v>229.6</v>
      </c>
      <c r="C598" s="2">
        <v>855.2</v>
      </c>
      <c r="D598" s="2">
        <v>5.97</v>
      </c>
      <c r="E598" s="2">
        <v>0.64</v>
      </c>
      <c r="F598" s="2">
        <v>49.9</v>
      </c>
      <c r="G598" s="3">
        <v>44462.924239618056</v>
      </c>
      <c r="H598" s="5">
        <f>IFERROR(__xludf.DUMMYFUNCTION("SPLIT(G598,"","")"),44462.0)</f>
        <v>44462</v>
      </c>
      <c r="I598" s="6">
        <f>IFERROR(__xludf.DUMMYFUNCTION("""COMPUTED_VALUE"""),0.9242361111111111)</f>
        <v>0.9242361111</v>
      </c>
    </row>
    <row r="599">
      <c r="A599" s="2">
        <v>5.79</v>
      </c>
      <c r="B599" s="2">
        <v>229.3</v>
      </c>
      <c r="C599" s="2">
        <v>855.4</v>
      </c>
      <c r="D599" s="2">
        <v>5.98</v>
      </c>
      <c r="E599" s="2">
        <v>0.64</v>
      </c>
      <c r="F599" s="2">
        <v>49.9</v>
      </c>
      <c r="G599" s="3">
        <v>44462.9243437963</v>
      </c>
      <c r="H599" s="5">
        <f>IFERROR(__xludf.DUMMYFUNCTION("SPLIT(G599,"","")"),44462.0)</f>
        <v>44462</v>
      </c>
      <c r="I599" s="6">
        <f>IFERROR(__xludf.DUMMYFUNCTION("""COMPUTED_VALUE"""),0.9243402777777778)</f>
        <v>0.9243402778</v>
      </c>
    </row>
    <row r="600">
      <c r="A600" s="2">
        <v>5.79</v>
      </c>
      <c r="B600" s="2">
        <v>229.5</v>
      </c>
      <c r="C600" s="2">
        <v>855.6</v>
      </c>
      <c r="D600" s="2">
        <v>5.98</v>
      </c>
      <c r="E600" s="2">
        <v>0.64</v>
      </c>
      <c r="F600" s="2">
        <v>49.9</v>
      </c>
      <c r="G600" s="3">
        <v>44462.92444335648</v>
      </c>
      <c r="H600" s="5">
        <f>IFERROR(__xludf.DUMMYFUNCTION("SPLIT(G600,"","")"),44462.0)</f>
        <v>44462</v>
      </c>
      <c r="I600" s="6">
        <f>IFERROR(__xludf.DUMMYFUNCTION("""COMPUTED_VALUE"""),0.9244444444444444)</f>
        <v>0.9244444444</v>
      </c>
    </row>
    <row r="601">
      <c r="A601" s="2">
        <v>5.79</v>
      </c>
      <c r="B601" s="2">
        <v>229.4</v>
      </c>
      <c r="C601" s="2">
        <v>856.0</v>
      </c>
      <c r="D601" s="2">
        <v>5.98</v>
      </c>
      <c r="E601" s="2">
        <v>0.64</v>
      </c>
      <c r="F601" s="2">
        <v>49.9</v>
      </c>
      <c r="G601" s="3">
        <v>44462.92454798611</v>
      </c>
      <c r="H601" s="5">
        <f>IFERROR(__xludf.DUMMYFUNCTION("SPLIT(G601,"","")"),44462.0)</f>
        <v>44462</v>
      </c>
      <c r="I601" s="6">
        <f>IFERROR(__xludf.DUMMYFUNCTION("""COMPUTED_VALUE"""),0.9245486111111111)</f>
        <v>0.9245486111</v>
      </c>
    </row>
    <row r="602">
      <c r="A602" s="2">
        <v>5.8</v>
      </c>
      <c r="B602" s="2">
        <v>229.6</v>
      </c>
      <c r="C602" s="2">
        <v>856.3</v>
      </c>
      <c r="D602" s="2">
        <v>5.98</v>
      </c>
      <c r="E602" s="2">
        <v>0.64</v>
      </c>
      <c r="F602" s="2">
        <v>50.0</v>
      </c>
      <c r="G602" s="3">
        <v>44462.92465951389</v>
      </c>
      <c r="H602" s="5">
        <f>IFERROR(__xludf.DUMMYFUNCTION("SPLIT(G602,"","")"),44462.0)</f>
        <v>44462</v>
      </c>
      <c r="I602" s="6">
        <f>IFERROR(__xludf.DUMMYFUNCTION("""COMPUTED_VALUE"""),0.9246643518518518)</f>
        <v>0.9246643519</v>
      </c>
    </row>
    <row r="603">
      <c r="A603" s="2">
        <v>5.79</v>
      </c>
      <c r="B603" s="2">
        <v>229.5</v>
      </c>
      <c r="C603" s="2">
        <v>856.4</v>
      </c>
      <c r="D603" s="2">
        <v>5.99</v>
      </c>
      <c r="E603" s="2">
        <v>0.64</v>
      </c>
      <c r="F603" s="2">
        <v>49.9</v>
      </c>
      <c r="G603" s="3">
        <v>44462.92476666666</v>
      </c>
      <c r="H603" s="5">
        <f>IFERROR(__xludf.DUMMYFUNCTION("SPLIT(G603,"","")"),44462.0)</f>
        <v>44462</v>
      </c>
      <c r="I603" s="6">
        <f>IFERROR(__xludf.DUMMYFUNCTION("""COMPUTED_VALUE"""),0.9247685185185185)</f>
        <v>0.9247685185</v>
      </c>
    </row>
    <row r="604">
      <c r="A604" s="2">
        <v>5.8</v>
      </c>
      <c r="B604" s="2">
        <v>229.4</v>
      </c>
      <c r="C604" s="2">
        <v>856.8</v>
      </c>
      <c r="D604" s="2">
        <v>5.99</v>
      </c>
      <c r="E604" s="2">
        <v>0.64</v>
      </c>
      <c r="F604" s="2">
        <v>49.9</v>
      </c>
      <c r="G604" s="3">
        <v>44462.92486953703</v>
      </c>
      <c r="H604" s="5">
        <f>IFERROR(__xludf.DUMMYFUNCTION("SPLIT(G604,"","")"),44462.0)</f>
        <v>44462</v>
      </c>
      <c r="I604" s="6">
        <f>IFERROR(__xludf.DUMMYFUNCTION("""COMPUTED_VALUE"""),0.9248726851851852)</f>
        <v>0.9248726852</v>
      </c>
    </row>
    <row r="605">
      <c r="A605" s="2">
        <v>5.78</v>
      </c>
      <c r="B605" s="2">
        <v>229.7</v>
      </c>
      <c r="C605" s="2">
        <v>857.0</v>
      </c>
      <c r="D605" s="2">
        <v>5.99</v>
      </c>
      <c r="E605" s="2">
        <v>0.65</v>
      </c>
      <c r="F605" s="2">
        <v>49.9</v>
      </c>
      <c r="G605" s="3">
        <v>44462.92497195602</v>
      </c>
      <c r="H605" s="5">
        <f>IFERROR(__xludf.DUMMYFUNCTION("SPLIT(G605,"","")"),44462.0)</f>
        <v>44462</v>
      </c>
      <c r="I605" s="6">
        <f>IFERROR(__xludf.DUMMYFUNCTION("""COMPUTED_VALUE"""),0.9249768518518519)</f>
        <v>0.9249768519</v>
      </c>
    </row>
    <row r="606">
      <c r="A606" s="2">
        <v>5.78</v>
      </c>
      <c r="B606" s="2">
        <v>229.8</v>
      </c>
      <c r="C606" s="2">
        <v>857.2</v>
      </c>
      <c r="D606" s="2">
        <v>5.99</v>
      </c>
      <c r="E606" s="2">
        <v>0.65</v>
      </c>
      <c r="F606" s="2">
        <v>49.9</v>
      </c>
      <c r="G606" s="3">
        <v>44462.92507564815</v>
      </c>
      <c r="H606" s="5">
        <f>IFERROR(__xludf.DUMMYFUNCTION("SPLIT(G606,"","")"),44462.0)</f>
        <v>44462</v>
      </c>
      <c r="I606" s="6">
        <f>IFERROR(__xludf.DUMMYFUNCTION("""COMPUTED_VALUE"""),0.9250810185185185)</f>
        <v>0.9250810185</v>
      </c>
    </row>
    <row r="607">
      <c r="A607" s="2">
        <v>5.79</v>
      </c>
      <c r="B607" s="2">
        <v>229.7</v>
      </c>
      <c r="C607" s="2">
        <v>857.4</v>
      </c>
      <c r="D607" s="2">
        <v>5.99</v>
      </c>
      <c r="E607" s="2">
        <v>0.65</v>
      </c>
      <c r="F607" s="2">
        <v>50.0</v>
      </c>
      <c r="G607" s="3">
        <v>44462.92517711806</v>
      </c>
      <c r="H607" s="5">
        <f>IFERROR(__xludf.DUMMYFUNCTION("SPLIT(G607,"","")"),44462.0)</f>
        <v>44462</v>
      </c>
      <c r="I607" s="6">
        <f>IFERROR(__xludf.DUMMYFUNCTION("""COMPUTED_VALUE"""),0.9251736111111111)</f>
        <v>0.9251736111</v>
      </c>
    </row>
    <row r="608">
      <c r="A608" s="2">
        <v>5.78</v>
      </c>
      <c r="B608" s="2">
        <v>229.6</v>
      </c>
      <c r="C608" s="2">
        <v>857.7</v>
      </c>
      <c r="D608" s="2">
        <v>6.0</v>
      </c>
      <c r="E608" s="2">
        <v>0.65</v>
      </c>
      <c r="F608" s="2">
        <v>49.9</v>
      </c>
      <c r="G608" s="3">
        <v>44462.92527871528</v>
      </c>
      <c r="H608" s="5">
        <f>IFERROR(__xludf.DUMMYFUNCTION("SPLIT(G608,"","")"),44462.0)</f>
        <v>44462</v>
      </c>
      <c r="I608" s="6">
        <f>IFERROR(__xludf.DUMMYFUNCTION("""COMPUTED_VALUE"""),0.9252777777777778)</f>
        <v>0.9252777778</v>
      </c>
    </row>
    <row r="609">
      <c r="A609" s="2">
        <v>5.81</v>
      </c>
      <c r="B609" s="2">
        <v>229.3</v>
      </c>
      <c r="C609" s="2">
        <v>857.9</v>
      </c>
      <c r="D609" s="2">
        <v>6.0</v>
      </c>
      <c r="E609" s="2">
        <v>0.64</v>
      </c>
      <c r="F609" s="2">
        <v>49.9</v>
      </c>
      <c r="G609" s="3">
        <v>44462.92537991898</v>
      </c>
      <c r="H609" s="5">
        <f>IFERROR(__xludf.DUMMYFUNCTION("SPLIT(G609,"","")"),44462.0)</f>
        <v>44462</v>
      </c>
      <c r="I609" s="6">
        <f>IFERROR(__xludf.DUMMYFUNCTION("""COMPUTED_VALUE"""),0.9253819444444444)</f>
        <v>0.9253819444</v>
      </c>
    </row>
    <row r="610">
      <c r="A610" s="2">
        <v>5.81</v>
      </c>
      <c r="B610" s="2">
        <v>229.6</v>
      </c>
      <c r="C610" s="2">
        <v>858.2</v>
      </c>
      <c r="D610" s="2">
        <v>6.0</v>
      </c>
      <c r="E610" s="2">
        <v>0.64</v>
      </c>
      <c r="F610" s="2">
        <v>50.0</v>
      </c>
      <c r="G610" s="3">
        <v>44462.92548089121</v>
      </c>
      <c r="H610" s="5">
        <f>IFERROR(__xludf.DUMMYFUNCTION("SPLIT(G610,"","")"),44462.0)</f>
        <v>44462</v>
      </c>
      <c r="I610" s="6">
        <f>IFERROR(__xludf.DUMMYFUNCTION("""COMPUTED_VALUE"""),0.9254861111111111)</f>
        <v>0.9254861111</v>
      </c>
    </row>
    <row r="611">
      <c r="A611" s="2">
        <v>5.81</v>
      </c>
      <c r="B611" s="2">
        <v>229.6</v>
      </c>
      <c r="C611" s="2">
        <v>858.5</v>
      </c>
      <c r="D611" s="2">
        <v>6.0</v>
      </c>
      <c r="E611" s="2">
        <v>0.64</v>
      </c>
      <c r="F611" s="2">
        <v>50.0</v>
      </c>
      <c r="G611" s="3">
        <v>44462.925585289355</v>
      </c>
      <c r="H611" s="5">
        <f>IFERROR(__xludf.DUMMYFUNCTION("SPLIT(G611,"","")"),44462.0)</f>
        <v>44462</v>
      </c>
      <c r="I611" s="6">
        <f>IFERROR(__xludf.DUMMYFUNCTION("""COMPUTED_VALUE"""),0.9255902777777778)</f>
        <v>0.9255902778</v>
      </c>
    </row>
    <row r="612">
      <c r="A612" s="2">
        <v>5.81</v>
      </c>
      <c r="B612" s="2">
        <v>229.5</v>
      </c>
      <c r="C612" s="2">
        <v>858.7</v>
      </c>
      <c r="D612" s="2">
        <v>6.01</v>
      </c>
      <c r="E612" s="2">
        <v>0.64</v>
      </c>
      <c r="F612" s="2">
        <v>50.0</v>
      </c>
      <c r="G612" s="3">
        <v>44462.925686030096</v>
      </c>
      <c r="H612" s="5">
        <f>IFERROR(__xludf.DUMMYFUNCTION("SPLIT(G612,"","")"),44462.0)</f>
        <v>44462</v>
      </c>
      <c r="I612" s="6">
        <f>IFERROR(__xludf.DUMMYFUNCTION("""COMPUTED_VALUE"""),0.9256828703703703)</f>
        <v>0.9256828704</v>
      </c>
    </row>
    <row r="613">
      <c r="A613" s="2">
        <v>5.81</v>
      </c>
      <c r="B613" s="2">
        <v>229.6</v>
      </c>
      <c r="C613" s="2">
        <v>859.0</v>
      </c>
      <c r="D613" s="2">
        <v>6.01</v>
      </c>
      <c r="E613" s="2">
        <v>0.64</v>
      </c>
      <c r="F613" s="2">
        <v>50.0</v>
      </c>
      <c r="G613" s="3">
        <v>44462.92578820602</v>
      </c>
      <c r="H613" s="5">
        <f>IFERROR(__xludf.DUMMYFUNCTION("SPLIT(G613,"","")"),44462.0)</f>
        <v>44462</v>
      </c>
      <c r="I613" s="6">
        <f>IFERROR(__xludf.DUMMYFUNCTION("""COMPUTED_VALUE"""),0.925787037037037)</f>
        <v>0.925787037</v>
      </c>
    </row>
    <row r="614">
      <c r="A614" s="2">
        <v>5.82</v>
      </c>
      <c r="B614" s="2">
        <v>229.5</v>
      </c>
      <c r="C614" s="2">
        <v>859.3</v>
      </c>
      <c r="D614" s="2">
        <v>6.01</v>
      </c>
      <c r="E614" s="2">
        <v>0.64</v>
      </c>
      <c r="F614" s="2">
        <v>50.0</v>
      </c>
      <c r="G614" s="3">
        <v>44462.92589003472</v>
      </c>
      <c r="H614" s="5">
        <f>IFERROR(__xludf.DUMMYFUNCTION("SPLIT(G614,"","")"),44462.0)</f>
        <v>44462</v>
      </c>
      <c r="I614" s="6">
        <f>IFERROR(__xludf.DUMMYFUNCTION("""COMPUTED_VALUE"""),0.9258912037037037)</f>
        <v>0.9258912037</v>
      </c>
    </row>
    <row r="615">
      <c r="A615" s="2">
        <v>5.81</v>
      </c>
      <c r="B615" s="2">
        <v>229.7</v>
      </c>
      <c r="C615" s="2">
        <v>859.5</v>
      </c>
      <c r="D615" s="2">
        <v>6.01</v>
      </c>
      <c r="E615" s="2">
        <v>0.64</v>
      </c>
      <c r="F615" s="2">
        <v>50.0</v>
      </c>
      <c r="G615" s="3">
        <v>44462.925991365744</v>
      </c>
      <c r="H615" s="5">
        <f>IFERROR(__xludf.DUMMYFUNCTION("SPLIT(G615,"","")"),44462.0)</f>
        <v>44462</v>
      </c>
      <c r="I615" s="6">
        <f>IFERROR(__xludf.DUMMYFUNCTION("""COMPUTED_VALUE"""),0.9259953703703704)</f>
        <v>0.9259953704</v>
      </c>
    </row>
    <row r="616">
      <c r="A616" s="2">
        <v>5.82</v>
      </c>
      <c r="B616" s="2">
        <v>229.6</v>
      </c>
      <c r="C616" s="2">
        <v>859.8</v>
      </c>
      <c r="D616" s="2">
        <v>6.01</v>
      </c>
      <c r="E616" s="2">
        <v>0.64</v>
      </c>
      <c r="F616" s="2">
        <v>50.0</v>
      </c>
      <c r="G616" s="3">
        <v>44462.92609493056</v>
      </c>
      <c r="H616" s="5">
        <f>IFERROR(__xludf.DUMMYFUNCTION("SPLIT(G616,"","")"),44462.0)</f>
        <v>44462</v>
      </c>
      <c r="I616" s="6">
        <f>IFERROR(__xludf.DUMMYFUNCTION("""COMPUTED_VALUE"""),0.9260995370370371)</f>
        <v>0.926099537</v>
      </c>
    </row>
    <row r="617">
      <c r="A617" s="2">
        <v>5.81</v>
      </c>
      <c r="B617" s="2">
        <v>229.5</v>
      </c>
      <c r="C617" s="2">
        <v>860.1</v>
      </c>
      <c r="D617" s="2">
        <v>6.01</v>
      </c>
      <c r="E617" s="2">
        <v>0.65</v>
      </c>
      <c r="F617" s="2">
        <v>50.0</v>
      </c>
      <c r="G617" s="3">
        <v>44462.9261930787</v>
      </c>
      <c r="H617" s="5">
        <f>IFERROR(__xludf.DUMMYFUNCTION("SPLIT(G617,"","")"),44462.0)</f>
        <v>44462</v>
      </c>
      <c r="I617" s="6">
        <f>IFERROR(__xludf.DUMMYFUNCTION("""COMPUTED_VALUE"""),0.9261921296296296)</f>
        <v>0.9261921296</v>
      </c>
    </row>
    <row r="618">
      <c r="A618" s="2">
        <v>5.82</v>
      </c>
      <c r="B618" s="2">
        <v>229.5</v>
      </c>
      <c r="C618" s="2">
        <v>860.3</v>
      </c>
      <c r="D618" s="2">
        <v>6.02</v>
      </c>
      <c r="E618" s="2">
        <v>0.64</v>
      </c>
      <c r="F618" s="2">
        <v>50.0</v>
      </c>
      <c r="G618" s="3">
        <v>44462.92629483796</v>
      </c>
      <c r="H618" s="5">
        <f>IFERROR(__xludf.DUMMYFUNCTION("SPLIT(G618,"","")"),44462.0)</f>
        <v>44462</v>
      </c>
      <c r="I618" s="6">
        <f>IFERROR(__xludf.DUMMYFUNCTION("""COMPUTED_VALUE"""),0.9262962962962963)</f>
        <v>0.9262962963</v>
      </c>
    </row>
    <row r="619">
      <c r="A619" s="2">
        <v>5.83</v>
      </c>
      <c r="B619" s="2">
        <v>229.3</v>
      </c>
      <c r="C619" s="2">
        <v>860.6</v>
      </c>
      <c r="D619" s="2">
        <v>6.02</v>
      </c>
      <c r="E619" s="2">
        <v>0.64</v>
      </c>
      <c r="F619" s="2">
        <v>49.9</v>
      </c>
      <c r="G619" s="3">
        <v>44462.92639721065</v>
      </c>
      <c r="H619" s="5">
        <f>IFERROR(__xludf.DUMMYFUNCTION("SPLIT(G619,"","")"),44462.0)</f>
        <v>44462</v>
      </c>
      <c r="I619" s="6">
        <f>IFERROR(__xludf.DUMMYFUNCTION("""COMPUTED_VALUE"""),0.926400462962963)</f>
        <v>0.926400463</v>
      </c>
    </row>
    <row r="620">
      <c r="A620" s="2">
        <v>5.82</v>
      </c>
      <c r="B620" s="2">
        <v>229.4</v>
      </c>
      <c r="C620" s="2">
        <v>860.8</v>
      </c>
      <c r="D620" s="2">
        <v>6.02</v>
      </c>
      <c r="E620" s="2">
        <v>0.64</v>
      </c>
      <c r="F620" s="2">
        <v>49.9</v>
      </c>
      <c r="G620" s="3">
        <v>44462.92650436342</v>
      </c>
      <c r="H620" s="5">
        <f>IFERROR(__xludf.DUMMYFUNCTION("SPLIT(G620,"","")"),44462.0)</f>
        <v>44462</v>
      </c>
      <c r="I620" s="6">
        <f>IFERROR(__xludf.DUMMYFUNCTION("""COMPUTED_VALUE"""),0.9265046296296297)</f>
        <v>0.9265046296</v>
      </c>
    </row>
    <row r="621">
      <c r="A621" s="2">
        <v>5.84</v>
      </c>
      <c r="B621" s="2">
        <v>229.1</v>
      </c>
      <c r="C621" s="2">
        <v>861.0</v>
      </c>
      <c r="D621" s="2">
        <v>6.02</v>
      </c>
      <c r="E621" s="2">
        <v>0.64</v>
      </c>
      <c r="F621" s="2">
        <v>49.9</v>
      </c>
      <c r="G621" s="3">
        <v>44462.926609780094</v>
      </c>
      <c r="H621" s="5">
        <f>IFERROR(__xludf.DUMMYFUNCTION("SPLIT(G621,"","")"),44462.0)</f>
        <v>44462</v>
      </c>
      <c r="I621" s="6">
        <f>IFERROR(__xludf.DUMMYFUNCTION("""COMPUTED_VALUE"""),0.9266087962962963)</f>
        <v>0.9266087963</v>
      </c>
    </row>
    <row r="622">
      <c r="A622" s="2">
        <v>5.84</v>
      </c>
      <c r="B622" s="2">
        <v>229.3</v>
      </c>
      <c r="C622" s="2">
        <v>861.3</v>
      </c>
      <c r="D622" s="2">
        <v>6.03</v>
      </c>
      <c r="E622" s="2">
        <v>0.64</v>
      </c>
      <c r="F622" s="2">
        <v>49.9</v>
      </c>
      <c r="G622" s="3">
        <v>44462.92671436342</v>
      </c>
      <c r="H622" s="5">
        <f>IFERROR(__xludf.DUMMYFUNCTION("SPLIT(G622,"","")"),44462.0)</f>
        <v>44462</v>
      </c>
      <c r="I622" s="6">
        <f>IFERROR(__xludf.DUMMYFUNCTION("""COMPUTED_VALUE"""),0.926712962962963)</f>
        <v>0.926712963</v>
      </c>
    </row>
    <row r="623">
      <c r="A623" s="2">
        <v>5.84</v>
      </c>
      <c r="B623" s="2">
        <v>229.3</v>
      </c>
      <c r="C623" s="2">
        <v>861.6</v>
      </c>
      <c r="D623" s="2">
        <v>6.03</v>
      </c>
      <c r="E623" s="2">
        <v>0.64</v>
      </c>
      <c r="F623" s="2">
        <v>50.0</v>
      </c>
      <c r="G623" s="3">
        <v>44462.92681427083</v>
      </c>
      <c r="H623" s="5">
        <f>IFERROR(__xludf.DUMMYFUNCTION("SPLIT(G623,"","")"),44462.0)</f>
        <v>44462</v>
      </c>
      <c r="I623" s="6">
        <f>IFERROR(__xludf.DUMMYFUNCTION("""COMPUTED_VALUE"""),0.9268171296296296)</f>
        <v>0.9268171296</v>
      </c>
    </row>
    <row r="624">
      <c r="A624" s="2">
        <v>5.84</v>
      </c>
      <c r="B624" s="2">
        <v>229.1</v>
      </c>
      <c r="C624" s="2">
        <v>861.9</v>
      </c>
      <c r="D624" s="2">
        <v>6.03</v>
      </c>
      <c r="E624" s="2">
        <v>0.64</v>
      </c>
      <c r="F624" s="2">
        <v>49.9</v>
      </c>
      <c r="G624" s="3">
        <v>44462.926928437504</v>
      </c>
      <c r="H624" s="5">
        <f>IFERROR(__xludf.DUMMYFUNCTION("SPLIT(G624,"","")"),44462.0)</f>
        <v>44462</v>
      </c>
      <c r="I624" s="6">
        <f>IFERROR(__xludf.DUMMYFUNCTION("""COMPUTED_VALUE"""),0.9269328703703704)</f>
        <v>0.9269328704</v>
      </c>
    </row>
    <row r="625">
      <c r="A625" s="2">
        <v>5.84</v>
      </c>
      <c r="B625" s="2">
        <v>229.1</v>
      </c>
      <c r="C625" s="2">
        <v>862.3</v>
      </c>
      <c r="D625" s="2">
        <v>6.03</v>
      </c>
      <c r="E625" s="2">
        <v>0.64</v>
      </c>
      <c r="F625" s="2">
        <v>50.0</v>
      </c>
      <c r="G625" s="3">
        <v>44462.92703027777</v>
      </c>
      <c r="H625" s="5">
        <f>IFERROR(__xludf.DUMMYFUNCTION("SPLIT(G625,"","")"),44462.0)</f>
        <v>44462</v>
      </c>
      <c r="I625" s="6">
        <f>IFERROR(__xludf.DUMMYFUNCTION("""COMPUTED_VALUE"""),0.927025462962963)</f>
        <v>0.927025463</v>
      </c>
    </row>
    <row r="626">
      <c r="A626" s="2">
        <v>5.84</v>
      </c>
      <c r="B626" s="2">
        <v>229.4</v>
      </c>
      <c r="C626" s="2">
        <v>862.3</v>
      </c>
      <c r="D626" s="2">
        <v>6.03</v>
      </c>
      <c r="E626" s="2">
        <v>0.64</v>
      </c>
      <c r="F626" s="2">
        <v>50.0</v>
      </c>
      <c r="G626" s="3">
        <v>44462.92713327546</v>
      </c>
      <c r="H626" s="5">
        <f>IFERROR(__xludf.DUMMYFUNCTION("SPLIT(G626,"","")"),44462.0)</f>
        <v>44462</v>
      </c>
      <c r="I626" s="6">
        <f>IFERROR(__xludf.DUMMYFUNCTION("""COMPUTED_VALUE"""),0.9271296296296296)</f>
        <v>0.9271296296</v>
      </c>
    </row>
    <row r="627">
      <c r="A627" s="2">
        <v>5.84</v>
      </c>
      <c r="B627" s="2">
        <v>229.1</v>
      </c>
      <c r="C627" s="2">
        <v>862.6</v>
      </c>
      <c r="D627" s="2">
        <v>6.04</v>
      </c>
      <c r="E627" s="2">
        <v>0.64</v>
      </c>
      <c r="F627" s="2">
        <v>50.0</v>
      </c>
      <c r="G627" s="3">
        <v>44462.92724009259</v>
      </c>
      <c r="H627" s="5">
        <f>IFERROR(__xludf.DUMMYFUNCTION("SPLIT(G627,"","")"),44462.0)</f>
        <v>44462</v>
      </c>
      <c r="I627" s="6">
        <f>IFERROR(__xludf.DUMMYFUNCTION("""COMPUTED_VALUE"""),0.9272453703703704)</f>
        <v>0.9272453704</v>
      </c>
    </row>
    <row r="628">
      <c r="A628" s="2">
        <v>5.84</v>
      </c>
      <c r="B628" s="2">
        <v>229.2</v>
      </c>
      <c r="C628" s="2">
        <v>862.9</v>
      </c>
      <c r="D628" s="2">
        <v>6.04</v>
      </c>
      <c r="E628" s="2">
        <v>0.64</v>
      </c>
      <c r="F628" s="2">
        <v>49.9</v>
      </c>
      <c r="G628" s="3">
        <v>44462.927341875</v>
      </c>
      <c r="H628" s="5">
        <f>IFERROR(__xludf.DUMMYFUNCTION("SPLIT(G628,"","")"),44462.0)</f>
        <v>44462</v>
      </c>
      <c r="I628" s="6">
        <f>IFERROR(__xludf.DUMMYFUNCTION("""COMPUTED_VALUE"""),0.927337962962963)</f>
        <v>0.927337963</v>
      </c>
    </row>
    <row r="629">
      <c r="A629" s="2">
        <v>5.85</v>
      </c>
      <c r="B629" s="2">
        <v>229.3</v>
      </c>
      <c r="C629" s="2">
        <v>863.4</v>
      </c>
      <c r="D629" s="2">
        <v>6.04</v>
      </c>
      <c r="E629" s="2">
        <v>0.64</v>
      </c>
      <c r="F629" s="2">
        <v>50.0</v>
      </c>
      <c r="G629" s="3">
        <v>44462.92744649306</v>
      </c>
      <c r="H629" s="5">
        <f>IFERROR(__xludf.DUMMYFUNCTION("SPLIT(G629,"","")"),44462.0)</f>
        <v>44462</v>
      </c>
      <c r="I629" s="6">
        <f>IFERROR(__xludf.DUMMYFUNCTION("""COMPUTED_VALUE"""),0.9274421296296296)</f>
        <v>0.9274421296</v>
      </c>
    </row>
    <row r="630">
      <c r="A630" s="2">
        <v>5.85</v>
      </c>
      <c r="B630" s="2">
        <v>229.4</v>
      </c>
      <c r="C630" s="2">
        <v>863.5</v>
      </c>
      <c r="D630" s="2">
        <v>6.04</v>
      </c>
      <c r="E630" s="2">
        <v>0.64</v>
      </c>
      <c r="F630" s="2">
        <v>50.0</v>
      </c>
      <c r="G630" s="3">
        <v>44462.927553761576</v>
      </c>
      <c r="H630" s="5">
        <f>IFERROR(__xludf.DUMMYFUNCTION("SPLIT(G630,"","")"),44462.0)</f>
        <v>44462</v>
      </c>
      <c r="I630" s="6">
        <f>IFERROR(__xludf.DUMMYFUNCTION("""COMPUTED_VALUE"""),0.9275578703703704)</f>
        <v>0.9275578704</v>
      </c>
    </row>
    <row r="631">
      <c r="A631" s="2">
        <v>5.88</v>
      </c>
      <c r="B631" s="2">
        <v>229.1</v>
      </c>
      <c r="C631" s="2">
        <v>863.7</v>
      </c>
      <c r="D631" s="2">
        <v>6.05</v>
      </c>
      <c r="E631" s="2">
        <v>0.64</v>
      </c>
      <c r="F631" s="2">
        <v>50.0</v>
      </c>
      <c r="G631" s="3">
        <v>44462.92765967593</v>
      </c>
      <c r="H631" s="5">
        <f>IFERROR(__xludf.DUMMYFUNCTION("SPLIT(G631,"","")"),44462.0)</f>
        <v>44462</v>
      </c>
      <c r="I631" s="6">
        <f>IFERROR(__xludf.DUMMYFUNCTION("""COMPUTED_VALUE"""),0.9276620370370371)</f>
        <v>0.927662037</v>
      </c>
    </row>
    <row r="632">
      <c r="A632" s="2">
        <v>5.89</v>
      </c>
      <c r="B632" s="2">
        <v>229.0</v>
      </c>
      <c r="C632" s="2">
        <v>864.0</v>
      </c>
      <c r="D632" s="2">
        <v>6.05</v>
      </c>
      <c r="E632" s="2">
        <v>0.64</v>
      </c>
      <c r="F632" s="2">
        <v>50.0</v>
      </c>
      <c r="G632" s="3">
        <v>44462.92776333333</v>
      </c>
      <c r="H632" s="5">
        <f>IFERROR(__xludf.DUMMYFUNCTION("SPLIT(G632,"","")"),44462.0)</f>
        <v>44462</v>
      </c>
      <c r="I632" s="6">
        <f>IFERROR(__xludf.DUMMYFUNCTION("""COMPUTED_VALUE"""),0.9277662037037037)</f>
        <v>0.9277662037</v>
      </c>
    </row>
    <row r="633">
      <c r="A633" s="2">
        <v>5.88</v>
      </c>
      <c r="B633" s="2">
        <v>229.3</v>
      </c>
      <c r="C633" s="2">
        <v>864.3</v>
      </c>
      <c r="D633" s="2">
        <v>6.05</v>
      </c>
      <c r="E633" s="2">
        <v>0.64</v>
      </c>
      <c r="F633" s="2">
        <v>50.0</v>
      </c>
      <c r="G633" s="3">
        <v>44462.92787002315</v>
      </c>
      <c r="H633" s="5">
        <f>IFERROR(__xludf.DUMMYFUNCTION("SPLIT(G633,"","")"),44462.0)</f>
        <v>44462</v>
      </c>
      <c r="I633" s="6">
        <f>IFERROR(__xludf.DUMMYFUNCTION("""COMPUTED_VALUE"""),0.9278703703703703)</f>
        <v>0.9278703704</v>
      </c>
    </row>
    <row r="634">
      <c r="A634" s="2">
        <v>5.89</v>
      </c>
      <c r="B634" s="2">
        <v>229.2</v>
      </c>
      <c r="C634" s="2">
        <v>864.5</v>
      </c>
      <c r="D634" s="2">
        <v>6.05</v>
      </c>
      <c r="E634" s="2">
        <v>0.64</v>
      </c>
      <c r="F634" s="2">
        <v>50.0</v>
      </c>
      <c r="G634" s="3">
        <v>44462.92797800926</v>
      </c>
      <c r="H634" s="5">
        <f>IFERROR(__xludf.DUMMYFUNCTION("SPLIT(G634,"","")"),44462.0)</f>
        <v>44462</v>
      </c>
      <c r="I634" s="6">
        <f>IFERROR(__xludf.DUMMYFUNCTION("""COMPUTED_VALUE"""),0.927974537037037)</f>
        <v>0.927974537</v>
      </c>
    </row>
    <row r="635">
      <c r="A635" s="2">
        <v>5.91</v>
      </c>
      <c r="B635" s="2">
        <v>228.8</v>
      </c>
      <c r="C635" s="2">
        <v>864.8</v>
      </c>
      <c r="D635" s="2">
        <v>6.05</v>
      </c>
      <c r="E635" s="2">
        <v>0.64</v>
      </c>
      <c r="F635" s="2">
        <v>50.0</v>
      </c>
      <c r="G635" s="3">
        <v>44462.92808091435</v>
      </c>
      <c r="H635" s="5">
        <f>IFERROR(__xludf.DUMMYFUNCTION("SPLIT(G635,"","")"),44462.0)</f>
        <v>44462</v>
      </c>
      <c r="I635" s="6">
        <f>IFERROR(__xludf.DUMMYFUNCTION("""COMPUTED_VALUE"""),0.9280787037037037)</f>
        <v>0.9280787037</v>
      </c>
    </row>
    <row r="636">
      <c r="A636" s="2">
        <v>5.91</v>
      </c>
      <c r="B636" s="2">
        <v>229.0</v>
      </c>
      <c r="C636" s="2">
        <v>865.0</v>
      </c>
      <c r="D636" s="2">
        <v>6.06</v>
      </c>
      <c r="E636" s="2">
        <v>0.64</v>
      </c>
      <c r="F636" s="2">
        <v>50.0</v>
      </c>
      <c r="G636" s="3">
        <v>44462.92818798611</v>
      </c>
      <c r="H636" s="5">
        <f>IFERROR(__xludf.DUMMYFUNCTION("SPLIT(G636,"","")"),44462.0)</f>
        <v>44462</v>
      </c>
      <c r="I636" s="6">
        <f>IFERROR(__xludf.DUMMYFUNCTION("""COMPUTED_VALUE"""),0.9281828703703704)</f>
        <v>0.9281828704</v>
      </c>
    </row>
    <row r="637">
      <c r="A637" s="2">
        <v>5.92</v>
      </c>
      <c r="B637" s="2">
        <v>228.8</v>
      </c>
      <c r="C637" s="2">
        <v>865.3</v>
      </c>
      <c r="D637" s="2">
        <v>6.06</v>
      </c>
      <c r="E637" s="2">
        <v>0.64</v>
      </c>
      <c r="F637" s="2">
        <v>50.0</v>
      </c>
      <c r="G637" s="3">
        <v>44462.92829304398</v>
      </c>
      <c r="H637" s="5">
        <f>IFERROR(__xludf.DUMMYFUNCTION("SPLIT(G637,"","")"),44462.0)</f>
        <v>44462</v>
      </c>
      <c r="I637" s="6">
        <f>IFERROR(__xludf.DUMMYFUNCTION("""COMPUTED_VALUE"""),0.9282986111111111)</f>
        <v>0.9282986111</v>
      </c>
    </row>
    <row r="638">
      <c r="A638" s="2">
        <v>5.91</v>
      </c>
      <c r="B638" s="2">
        <v>229.0</v>
      </c>
      <c r="C638" s="2">
        <v>865.6</v>
      </c>
      <c r="D638" s="2">
        <v>6.06</v>
      </c>
      <c r="E638" s="2">
        <v>0.64</v>
      </c>
      <c r="F638" s="2">
        <v>50.0</v>
      </c>
      <c r="G638" s="3">
        <v>44462.92839342593</v>
      </c>
      <c r="H638" s="5">
        <f>IFERROR(__xludf.DUMMYFUNCTION("SPLIT(G638,"","")"),44462.0)</f>
        <v>44462</v>
      </c>
      <c r="I638" s="6">
        <f>IFERROR(__xludf.DUMMYFUNCTION("""COMPUTED_VALUE"""),0.9283912037037036)</f>
        <v>0.9283912037</v>
      </c>
    </row>
    <row r="639">
      <c r="A639" s="2">
        <v>5.91</v>
      </c>
      <c r="B639" s="2">
        <v>228.8</v>
      </c>
      <c r="C639" s="2">
        <v>865.9</v>
      </c>
      <c r="D639" s="2">
        <v>6.06</v>
      </c>
      <c r="E639" s="2">
        <v>0.64</v>
      </c>
      <c r="F639" s="2">
        <v>50.0</v>
      </c>
      <c r="G639" s="3">
        <v>44462.92849813658</v>
      </c>
      <c r="H639" s="5">
        <f>IFERROR(__xludf.DUMMYFUNCTION("SPLIT(G639,"","")"),44462.0)</f>
        <v>44462</v>
      </c>
      <c r="I639" s="6">
        <f>IFERROR(__xludf.DUMMYFUNCTION("""COMPUTED_VALUE"""),0.9284953703703703)</f>
        <v>0.9284953704</v>
      </c>
    </row>
    <row r="640">
      <c r="A640" s="2">
        <v>5.91</v>
      </c>
      <c r="B640" s="2">
        <v>228.9</v>
      </c>
      <c r="C640" s="2">
        <v>866.2</v>
      </c>
      <c r="D640" s="2">
        <v>6.07</v>
      </c>
      <c r="E640" s="2">
        <v>0.64</v>
      </c>
      <c r="F640" s="2">
        <v>50.0</v>
      </c>
      <c r="G640" s="3">
        <v>44462.92860246528</v>
      </c>
      <c r="H640" s="5">
        <f>IFERROR(__xludf.DUMMYFUNCTION("SPLIT(G640,"","")"),44462.0)</f>
        <v>44462</v>
      </c>
      <c r="I640" s="6">
        <f>IFERROR(__xludf.DUMMYFUNCTION("""COMPUTED_VALUE"""),0.928599537037037)</f>
        <v>0.928599537</v>
      </c>
    </row>
    <row r="641">
      <c r="A641" s="2">
        <v>5.9</v>
      </c>
      <c r="B641" s="2">
        <v>229.2</v>
      </c>
      <c r="C641" s="2">
        <v>866.3</v>
      </c>
      <c r="D641" s="2">
        <v>6.07</v>
      </c>
      <c r="E641" s="2">
        <v>0.64</v>
      </c>
      <c r="F641" s="2">
        <v>50.0</v>
      </c>
      <c r="G641" s="3">
        <v>44462.92870045139</v>
      </c>
      <c r="H641" s="5">
        <f>IFERROR(__xludf.DUMMYFUNCTION("SPLIT(G641,"","")"),44462.0)</f>
        <v>44462</v>
      </c>
      <c r="I641" s="6">
        <f>IFERROR(__xludf.DUMMYFUNCTION("""COMPUTED_VALUE"""),0.9287037037037037)</f>
        <v>0.9287037037</v>
      </c>
    </row>
    <row r="642">
      <c r="A642" s="2">
        <v>5.91</v>
      </c>
      <c r="B642" s="2">
        <v>229.2</v>
      </c>
      <c r="C642" s="2">
        <v>866.5</v>
      </c>
      <c r="D642" s="2">
        <v>6.07</v>
      </c>
      <c r="E642" s="2">
        <v>0.64</v>
      </c>
      <c r="F642" s="2">
        <v>50.0</v>
      </c>
      <c r="G642" s="3">
        <v>44462.92880511574</v>
      </c>
      <c r="H642" s="5">
        <f>IFERROR(__xludf.DUMMYFUNCTION("SPLIT(G642,"","")"),44462.0)</f>
        <v>44462</v>
      </c>
      <c r="I642" s="6">
        <f>IFERROR(__xludf.DUMMYFUNCTION("""COMPUTED_VALUE"""),0.9288078703703704)</f>
        <v>0.9288078704</v>
      </c>
    </row>
    <row r="643">
      <c r="A643" s="2">
        <v>5.91</v>
      </c>
      <c r="B643" s="2">
        <v>229.1</v>
      </c>
      <c r="C643" s="2">
        <v>867.0</v>
      </c>
      <c r="D643" s="2">
        <v>6.07</v>
      </c>
      <c r="E643" s="2">
        <v>0.64</v>
      </c>
      <c r="F643" s="2">
        <v>50.0</v>
      </c>
      <c r="G643" s="3">
        <v>44462.928950601854</v>
      </c>
      <c r="H643" s="5">
        <f>IFERROR(__xludf.DUMMYFUNCTION("SPLIT(G643,"","")"),44462.0)</f>
        <v>44462</v>
      </c>
      <c r="I643" s="6">
        <f>IFERROR(__xludf.DUMMYFUNCTION("""COMPUTED_VALUE"""),0.9289467592592593)</f>
        <v>0.9289467593</v>
      </c>
    </row>
    <row r="644">
      <c r="A644" s="2">
        <v>5.91</v>
      </c>
      <c r="B644" s="2">
        <v>229.1</v>
      </c>
      <c r="C644" s="2">
        <v>867.2</v>
      </c>
      <c r="D644" s="2">
        <v>6.07</v>
      </c>
      <c r="E644" s="2">
        <v>0.64</v>
      </c>
      <c r="F644" s="2">
        <v>50.0</v>
      </c>
      <c r="G644" s="3">
        <v>44462.92907842592</v>
      </c>
      <c r="H644" s="5">
        <f>IFERROR(__xludf.DUMMYFUNCTION("SPLIT(G644,"","")"),44462.0)</f>
        <v>44462</v>
      </c>
      <c r="I644" s="6">
        <f>IFERROR(__xludf.DUMMYFUNCTION("""COMPUTED_VALUE"""),0.929074074074074)</f>
        <v>0.9290740741</v>
      </c>
    </row>
    <row r="645">
      <c r="A645" s="2">
        <v>5.91</v>
      </c>
      <c r="B645" s="2">
        <v>229.2</v>
      </c>
      <c r="C645" s="2">
        <v>867.5</v>
      </c>
      <c r="D645" s="2">
        <v>6.08</v>
      </c>
      <c r="E645" s="2">
        <v>0.64</v>
      </c>
      <c r="F645" s="2">
        <v>50.0</v>
      </c>
      <c r="G645" s="3">
        <v>44462.92919434028</v>
      </c>
      <c r="H645" s="5">
        <f>IFERROR(__xludf.DUMMYFUNCTION("SPLIT(G645,"","")"),44462.0)</f>
        <v>44462</v>
      </c>
      <c r="I645" s="6">
        <f>IFERROR(__xludf.DUMMYFUNCTION("""COMPUTED_VALUE"""),0.9291898148148148)</f>
        <v>0.9291898148</v>
      </c>
    </row>
    <row r="646">
      <c r="A646" s="2">
        <v>5.9</v>
      </c>
      <c r="B646" s="2">
        <v>229.2</v>
      </c>
      <c r="C646" s="2">
        <v>867.9</v>
      </c>
      <c r="D646" s="2">
        <v>6.08</v>
      </c>
      <c r="E646" s="2">
        <v>0.64</v>
      </c>
      <c r="F646" s="2">
        <v>50.0</v>
      </c>
      <c r="G646" s="3">
        <v>44462.929293946756</v>
      </c>
      <c r="H646" s="5">
        <f>IFERROR(__xludf.DUMMYFUNCTION("SPLIT(G646,"","")"),44462.0)</f>
        <v>44462</v>
      </c>
      <c r="I646" s="6">
        <f>IFERROR(__xludf.DUMMYFUNCTION("""COMPUTED_VALUE"""),0.9292939814814815)</f>
        <v>0.9292939815</v>
      </c>
    </row>
    <row r="647">
      <c r="A647" s="2">
        <v>5.9</v>
      </c>
      <c r="B647" s="2">
        <v>229.2</v>
      </c>
      <c r="C647" s="2">
        <v>868.2</v>
      </c>
      <c r="D647" s="2">
        <v>6.08</v>
      </c>
      <c r="E647" s="2">
        <v>0.64</v>
      </c>
      <c r="F647" s="2">
        <v>50.0</v>
      </c>
      <c r="G647" s="3">
        <v>44462.9293958912</v>
      </c>
      <c r="H647" s="5">
        <f>IFERROR(__xludf.DUMMYFUNCTION("SPLIT(G647,"","")"),44462.0)</f>
        <v>44462</v>
      </c>
      <c r="I647" s="6">
        <f>IFERROR(__xludf.DUMMYFUNCTION("""COMPUTED_VALUE"""),0.9293981481481481)</f>
        <v>0.9293981481</v>
      </c>
    </row>
    <row r="648">
      <c r="A648" s="2">
        <v>5.91</v>
      </c>
      <c r="B648" s="2">
        <v>229.2</v>
      </c>
      <c r="C648" s="2">
        <v>868.5</v>
      </c>
      <c r="D648" s="2">
        <v>6.08</v>
      </c>
      <c r="E648" s="2">
        <v>0.64</v>
      </c>
      <c r="F648" s="2">
        <v>50.0</v>
      </c>
      <c r="G648" s="3">
        <v>44462.92951087963</v>
      </c>
      <c r="H648" s="5">
        <f>IFERROR(__xludf.DUMMYFUNCTION("SPLIT(G648,"","")"),44462.0)</f>
        <v>44462</v>
      </c>
      <c r="I648" s="6">
        <f>IFERROR(__xludf.DUMMYFUNCTION("""COMPUTED_VALUE"""),0.9295138888888889)</f>
        <v>0.9295138889</v>
      </c>
    </row>
    <row r="649">
      <c r="A649" s="2">
        <v>5.91</v>
      </c>
      <c r="B649" s="2">
        <v>229.2</v>
      </c>
      <c r="C649" s="2">
        <v>868.9</v>
      </c>
      <c r="D649" s="2">
        <v>6.09</v>
      </c>
      <c r="E649" s="2">
        <v>0.64</v>
      </c>
      <c r="F649" s="2">
        <v>50.0</v>
      </c>
      <c r="G649" s="3">
        <v>44462.92961255787</v>
      </c>
      <c r="H649" s="5">
        <f>IFERROR(__xludf.DUMMYFUNCTION("SPLIT(G649,"","")"),44462.0)</f>
        <v>44462</v>
      </c>
      <c r="I649" s="6">
        <f>IFERROR(__xludf.DUMMYFUNCTION("""COMPUTED_VALUE"""),0.9296180555555555)</f>
        <v>0.9296180556</v>
      </c>
    </row>
    <row r="650">
      <c r="A650" s="2">
        <v>5.91</v>
      </c>
      <c r="B650" s="2">
        <v>229.3</v>
      </c>
      <c r="C650" s="2">
        <v>869.0</v>
      </c>
      <c r="D650" s="2">
        <v>6.09</v>
      </c>
      <c r="E650" s="2">
        <v>0.64</v>
      </c>
      <c r="F650" s="2">
        <v>50.0</v>
      </c>
      <c r="G650" s="3">
        <v>44462.92971306713</v>
      </c>
      <c r="H650" s="5">
        <f>IFERROR(__xludf.DUMMYFUNCTION("SPLIT(G650,"","")"),44462.0)</f>
        <v>44462</v>
      </c>
      <c r="I650" s="6">
        <f>IFERROR(__xludf.DUMMYFUNCTION("""COMPUTED_VALUE"""),0.9297106481481482)</f>
        <v>0.9297106481</v>
      </c>
    </row>
    <row r="651">
      <c r="A651" s="2">
        <v>5.92</v>
      </c>
      <c r="B651" s="2">
        <v>229.2</v>
      </c>
      <c r="C651" s="2">
        <v>869.3</v>
      </c>
      <c r="D651" s="2">
        <v>6.09</v>
      </c>
      <c r="E651" s="2">
        <v>0.64</v>
      </c>
      <c r="F651" s="2">
        <v>50.0</v>
      </c>
      <c r="G651" s="3">
        <v>44462.92981478009</v>
      </c>
      <c r="H651" s="5">
        <f>IFERROR(__xludf.DUMMYFUNCTION("SPLIT(G651,"","")"),44462.0)</f>
        <v>44462</v>
      </c>
      <c r="I651" s="6">
        <f>IFERROR(__xludf.DUMMYFUNCTION("""COMPUTED_VALUE"""),0.9298148148148148)</f>
        <v>0.9298148148</v>
      </c>
    </row>
    <row r="652">
      <c r="A652" s="2">
        <v>5.92</v>
      </c>
      <c r="B652" s="2">
        <v>229.2</v>
      </c>
      <c r="C652" s="2">
        <v>869.7</v>
      </c>
      <c r="D652" s="2">
        <v>6.09</v>
      </c>
      <c r="E652" s="2">
        <v>0.64</v>
      </c>
      <c r="F652" s="2">
        <v>50.0</v>
      </c>
      <c r="G652" s="3">
        <v>44462.9299178125</v>
      </c>
      <c r="H652" s="5">
        <f>IFERROR(__xludf.DUMMYFUNCTION("SPLIT(G652,"","")"),44462.0)</f>
        <v>44462</v>
      </c>
      <c r="I652" s="6">
        <f>IFERROR(__xludf.DUMMYFUNCTION("""COMPUTED_VALUE"""),0.9299189814814814)</f>
        <v>0.9299189815</v>
      </c>
    </row>
    <row r="653">
      <c r="A653" s="2">
        <v>5.92</v>
      </c>
      <c r="B653" s="2">
        <v>229.2</v>
      </c>
      <c r="C653" s="2">
        <v>869.9</v>
      </c>
      <c r="D653" s="2">
        <v>6.09</v>
      </c>
      <c r="E653" s="2">
        <v>0.64</v>
      </c>
      <c r="F653" s="2">
        <v>50.0</v>
      </c>
      <c r="G653" s="3">
        <v>44462.93001832176</v>
      </c>
      <c r="H653" s="5">
        <f>IFERROR(__xludf.DUMMYFUNCTION("SPLIT(G653,"","")"),44462.0)</f>
        <v>44462</v>
      </c>
      <c r="I653" s="6">
        <f>IFERROR(__xludf.DUMMYFUNCTION("""COMPUTED_VALUE"""),0.9300231481481481)</f>
        <v>0.9300231481</v>
      </c>
    </row>
    <row r="654">
      <c r="A654" s="2">
        <v>5.92</v>
      </c>
      <c r="B654" s="2">
        <v>229.2</v>
      </c>
      <c r="C654" s="2">
        <v>870.1</v>
      </c>
      <c r="D654" s="2">
        <v>6.1</v>
      </c>
      <c r="E654" s="2">
        <v>0.64</v>
      </c>
      <c r="F654" s="2">
        <v>50.0</v>
      </c>
      <c r="G654" s="3">
        <v>44462.93011998842</v>
      </c>
      <c r="H654" s="5">
        <f>IFERROR(__xludf.DUMMYFUNCTION("SPLIT(G654,"","")"),44462.0)</f>
        <v>44462</v>
      </c>
      <c r="I654" s="6">
        <f>IFERROR(__xludf.DUMMYFUNCTION("""COMPUTED_VALUE"""),0.9301157407407408)</f>
        <v>0.9301157407</v>
      </c>
    </row>
    <row r="655">
      <c r="A655" s="2">
        <v>5.92</v>
      </c>
      <c r="B655" s="2">
        <v>229.2</v>
      </c>
      <c r="C655" s="2">
        <v>870.5</v>
      </c>
      <c r="D655" s="2">
        <v>6.1</v>
      </c>
      <c r="E655" s="2">
        <v>0.64</v>
      </c>
      <c r="F655" s="2">
        <v>50.0</v>
      </c>
      <c r="G655" s="3">
        <v>44462.930225324075</v>
      </c>
      <c r="H655" s="5">
        <f>IFERROR(__xludf.DUMMYFUNCTION("SPLIT(G655,"","")"),44462.0)</f>
        <v>44462</v>
      </c>
      <c r="I655" s="6">
        <f>IFERROR(__xludf.DUMMYFUNCTION("""COMPUTED_VALUE"""),0.9302199074074075)</f>
        <v>0.9302199074</v>
      </c>
    </row>
    <row r="656">
      <c r="A656" s="2">
        <v>5.93</v>
      </c>
      <c r="B656" s="2">
        <v>229.2</v>
      </c>
      <c r="C656" s="2">
        <v>870.7</v>
      </c>
      <c r="D656" s="2">
        <v>6.1</v>
      </c>
      <c r="E656" s="2">
        <v>0.64</v>
      </c>
      <c r="F656" s="2">
        <v>50.0</v>
      </c>
      <c r="G656" s="3">
        <v>44462.93032966435</v>
      </c>
      <c r="H656" s="5">
        <f>IFERROR(__xludf.DUMMYFUNCTION("SPLIT(G656,"","")"),44462.0)</f>
        <v>44462</v>
      </c>
      <c r="I656" s="6">
        <f>IFERROR(__xludf.DUMMYFUNCTION("""COMPUTED_VALUE"""),0.930324074074074)</f>
        <v>0.9303240741</v>
      </c>
    </row>
    <row r="657">
      <c r="A657" s="2">
        <v>5.94</v>
      </c>
      <c r="B657" s="2">
        <v>229.1</v>
      </c>
      <c r="C657" s="2">
        <v>871.0</v>
      </c>
      <c r="D657" s="2">
        <v>6.1</v>
      </c>
      <c r="E657" s="2">
        <v>0.64</v>
      </c>
      <c r="F657" s="2">
        <v>50.0</v>
      </c>
      <c r="G657" s="3">
        <v>44462.930431782406</v>
      </c>
      <c r="H657" s="5">
        <f>IFERROR(__xludf.DUMMYFUNCTION("SPLIT(G657,"","")"),44462.0)</f>
        <v>44462</v>
      </c>
      <c r="I657" s="6">
        <f>IFERROR(__xludf.DUMMYFUNCTION("""COMPUTED_VALUE"""),0.9304282407407407)</f>
        <v>0.9304282407</v>
      </c>
    </row>
    <row r="658">
      <c r="A658" s="2">
        <v>5.95</v>
      </c>
      <c r="B658" s="2">
        <v>228.9</v>
      </c>
      <c r="C658" s="2">
        <v>871.3</v>
      </c>
      <c r="D658" s="2">
        <v>6.11</v>
      </c>
      <c r="E658" s="2">
        <v>0.64</v>
      </c>
      <c r="F658" s="2">
        <v>50.0</v>
      </c>
      <c r="G658" s="3">
        <v>44462.93053626157</v>
      </c>
      <c r="H658" s="5">
        <f>IFERROR(__xludf.DUMMYFUNCTION("SPLIT(G658,"","")"),44462.0)</f>
        <v>44462</v>
      </c>
      <c r="I658" s="6">
        <f>IFERROR(__xludf.DUMMYFUNCTION("""COMPUTED_VALUE"""),0.9305324074074074)</f>
        <v>0.9305324074</v>
      </c>
    </row>
    <row r="659">
      <c r="A659" s="2">
        <v>5.95</v>
      </c>
      <c r="B659" s="2">
        <v>228.8</v>
      </c>
      <c r="C659" s="2">
        <v>871.6</v>
      </c>
      <c r="D659" s="2">
        <v>6.11</v>
      </c>
      <c r="E659" s="2">
        <v>0.64</v>
      </c>
      <c r="F659" s="2">
        <v>50.0</v>
      </c>
      <c r="G659" s="3">
        <v>44462.930637812504</v>
      </c>
      <c r="H659" s="5">
        <f>IFERROR(__xludf.DUMMYFUNCTION("SPLIT(G659,"","")"),44462.0)</f>
        <v>44462</v>
      </c>
      <c r="I659" s="6">
        <f>IFERROR(__xludf.DUMMYFUNCTION("""COMPUTED_VALUE"""),0.9306365740740741)</f>
        <v>0.9306365741</v>
      </c>
    </row>
    <row r="660">
      <c r="A660" s="2">
        <v>5.95</v>
      </c>
      <c r="B660" s="2">
        <v>228.8</v>
      </c>
      <c r="C660" s="2">
        <v>871.9</v>
      </c>
      <c r="D660" s="2">
        <v>6.11</v>
      </c>
      <c r="E660" s="2">
        <v>0.64</v>
      </c>
      <c r="F660" s="2">
        <v>50.0</v>
      </c>
      <c r="G660" s="3">
        <v>44462.930739097224</v>
      </c>
      <c r="H660" s="5">
        <f>IFERROR(__xludf.DUMMYFUNCTION("SPLIT(G660,"","")"),44462.0)</f>
        <v>44462</v>
      </c>
      <c r="I660" s="6">
        <f>IFERROR(__xludf.DUMMYFUNCTION("""COMPUTED_VALUE"""),0.9307407407407408)</f>
        <v>0.9307407407</v>
      </c>
    </row>
    <row r="661">
      <c r="A661" s="2">
        <v>5.96</v>
      </c>
      <c r="B661" s="2">
        <v>228.5</v>
      </c>
      <c r="C661" s="2">
        <v>872.0</v>
      </c>
      <c r="D661" s="2">
        <v>6.11</v>
      </c>
      <c r="E661" s="2">
        <v>0.64</v>
      </c>
      <c r="F661" s="2">
        <v>49.9</v>
      </c>
      <c r="G661" s="3">
        <v>44462.93084144676</v>
      </c>
      <c r="H661" s="5">
        <f>IFERROR(__xludf.DUMMYFUNCTION("SPLIT(G661,"","")"),44462.0)</f>
        <v>44462</v>
      </c>
      <c r="I661" s="6">
        <f>IFERROR(__xludf.DUMMYFUNCTION("""COMPUTED_VALUE"""),0.9308449074074074)</f>
        <v>0.9308449074</v>
      </c>
    </row>
    <row r="662">
      <c r="A662" s="2">
        <v>5.96</v>
      </c>
      <c r="B662" s="2">
        <v>228.5</v>
      </c>
      <c r="C662" s="2">
        <v>872.3</v>
      </c>
      <c r="D662" s="2">
        <v>6.11</v>
      </c>
      <c r="E662" s="2">
        <v>0.64</v>
      </c>
      <c r="F662" s="2">
        <v>50.0</v>
      </c>
      <c r="G662" s="3">
        <v>44462.93094196759</v>
      </c>
      <c r="H662" s="5">
        <f>IFERROR(__xludf.DUMMYFUNCTION("SPLIT(G662,"","")"),44462.0)</f>
        <v>44462</v>
      </c>
      <c r="I662" s="6">
        <f>IFERROR(__xludf.DUMMYFUNCTION("""COMPUTED_VALUE"""),0.9309375)</f>
        <v>0.9309375</v>
      </c>
    </row>
    <row r="663">
      <c r="A663" s="2">
        <v>5.97</v>
      </c>
      <c r="B663" s="2">
        <v>228.4</v>
      </c>
      <c r="C663" s="2">
        <v>872.6</v>
      </c>
      <c r="D663" s="2">
        <v>6.12</v>
      </c>
      <c r="E663" s="2">
        <v>0.64</v>
      </c>
      <c r="F663" s="2">
        <v>49.9</v>
      </c>
      <c r="G663" s="3">
        <v>44462.93104059028</v>
      </c>
      <c r="H663" s="5">
        <f>IFERROR(__xludf.DUMMYFUNCTION("SPLIT(G663,"","")"),44462.0)</f>
        <v>44462</v>
      </c>
      <c r="I663" s="6">
        <f>IFERROR(__xludf.DUMMYFUNCTION("""COMPUTED_VALUE"""),0.9310416666666667)</f>
        <v>0.9310416667</v>
      </c>
    </row>
    <row r="664">
      <c r="A664" s="2">
        <v>5.97</v>
      </c>
      <c r="B664" s="2">
        <v>228.5</v>
      </c>
      <c r="C664" s="2">
        <v>872.8</v>
      </c>
      <c r="D664" s="2">
        <v>6.12</v>
      </c>
      <c r="E664" s="2">
        <v>0.64</v>
      </c>
      <c r="F664" s="2">
        <v>50.0</v>
      </c>
      <c r="G664" s="3">
        <v>44462.93114141204</v>
      </c>
      <c r="H664" s="5">
        <f>IFERROR(__xludf.DUMMYFUNCTION("SPLIT(G664,"","")"),44462.0)</f>
        <v>44462</v>
      </c>
      <c r="I664" s="6">
        <f>IFERROR(__xludf.DUMMYFUNCTION("""COMPUTED_VALUE"""),0.9311458333333333)</f>
        <v>0.9311458333</v>
      </c>
    </row>
    <row r="665">
      <c r="A665" s="2">
        <v>5.96</v>
      </c>
      <c r="B665" s="2">
        <v>228.5</v>
      </c>
      <c r="C665" s="2">
        <v>873.2</v>
      </c>
      <c r="D665" s="2">
        <v>6.12</v>
      </c>
      <c r="E665" s="2">
        <v>0.64</v>
      </c>
      <c r="F665" s="2">
        <v>50.0</v>
      </c>
      <c r="G665" s="3">
        <v>44462.93125071759</v>
      </c>
      <c r="H665" s="5">
        <f>IFERROR(__xludf.DUMMYFUNCTION("SPLIT(G665,"","")"),44462.0)</f>
        <v>44462</v>
      </c>
      <c r="I665" s="6">
        <f>IFERROR(__xludf.DUMMYFUNCTION("""COMPUTED_VALUE"""),0.93125)</f>
        <v>0.93125</v>
      </c>
    </row>
    <row r="666">
      <c r="A666" s="2">
        <v>5.98</v>
      </c>
      <c r="B666" s="2">
        <v>228.7</v>
      </c>
      <c r="C666" s="2">
        <v>873.3</v>
      </c>
      <c r="D666" s="2">
        <v>6.12</v>
      </c>
      <c r="E666" s="2">
        <v>0.64</v>
      </c>
      <c r="F666" s="2">
        <v>50.0</v>
      </c>
      <c r="G666" s="3">
        <v>44462.93135576389</v>
      </c>
      <c r="H666" s="5">
        <f>IFERROR(__xludf.DUMMYFUNCTION("SPLIT(G666,"","")"),44462.0)</f>
        <v>44462</v>
      </c>
      <c r="I666" s="6">
        <f>IFERROR(__xludf.DUMMYFUNCTION("""COMPUTED_VALUE"""),0.9313541666666667)</f>
        <v>0.9313541667</v>
      </c>
    </row>
    <row r="667">
      <c r="A667" s="2">
        <v>5.98</v>
      </c>
      <c r="B667" s="2">
        <v>228.7</v>
      </c>
      <c r="C667" s="2">
        <v>873.6</v>
      </c>
      <c r="D667" s="2">
        <v>6.13</v>
      </c>
      <c r="E667" s="2">
        <v>0.64</v>
      </c>
      <c r="F667" s="2">
        <v>50.0</v>
      </c>
      <c r="G667" s="3">
        <v>44462.931462187495</v>
      </c>
      <c r="H667" s="5">
        <f>IFERROR(__xludf.DUMMYFUNCTION("SPLIT(G667,"","")"),44462.0)</f>
        <v>44462</v>
      </c>
      <c r="I667" s="6">
        <f>IFERROR(__xludf.DUMMYFUNCTION("""COMPUTED_VALUE"""),0.9314583333333334)</f>
        <v>0.9314583333</v>
      </c>
    </row>
    <row r="668">
      <c r="A668" s="2">
        <v>5.95</v>
      </c>
      <c r="B668" s="2">
        <v>229.0</v>
      </c>
      <c r="C668" s="2">
        <v>874.0</v>
      </c>
      <c r="D668" s="2">
        <v>6.13</v>
      </c>
      <c r="E668" s="2">
        <v>0.64</v>
      </c>
      <c r="F668" s="2">
        <v>50.0</v>
      </c>
      <c r="G668" s="3">
        <v>44462.93156710648</v>
      </c>
      <c r="H668" s="5">
        <f>IFERROR(__xludf.DUMMYFUNCTION("SPLIT(G668,"","")"),44462.0)</f>
        <v>44462</v>
      </c>
      <c r="I668" s="6">
        <f>IFERROR(__xludf.DUMMYFUNCTION("""COMPUTED_VALUE"""),0.9315625)</f>
        <v>0.9315625</v>
      </c>
    </row>
    <row r="669">
      <c r="A669" s="2">
        <v>5.96</v>
      </c>
      <c r="B669" s="2">
        <v>229.2</v>
      </c>
      <c r="C669" s="2">
        <v>874.4</v>
      </c>
      <c r="D669" s="2">
        <v>6.13</v>
      </c>
      <c r="E669" s="2">
        <v>0.64</v>
      </c>
      <c r="F669" s="2">
        <v>50.0</v>
      </c>
      <c r="G669" s="3">
        <v>44462.93167340278</v>
      </c>
      <c r="H669" s="5">
        <f>IFERROR(__xludf.DUMMYFUNCTION("SPLIT(G669,"","")"),44462.0)</f>
        <v>44462</v>
      </c>
      <c r="I669" s="6">
        <f>IFERROR(__xludf.DUMMYFUNCTION("""COMPUTED_VALUE"""),0.9316782407407408)</f>
        <v>0.9316782407</v>
      </c>
    </row>
    <row r="670">
      <c r="A670" s="2">
        <v>5.96</v>
      </c>
      <c r="B670" s="2">
        <v>229.1</v>
      </c>
      <c r="C670" s="2">
        <v>874.7</v>
      </c>
      <c r="D670" s="2">
        <v>6.13</v>
      </c>
      <c r="E670" s="2">
        <v>0.64</v>
      </c>
      <c r="F670" s="2">
        <v>50.0</v>
      </c>
      <c r="G670" s="3">
        <v>44462.93178049769</v>
      </c>
      <c r="H670" s="5">
        <f>IFERROR(__xludf.DUMMYFUNCTION("SPLIT(G670,"","")"),44462.0)</f>
        <v>44462</v>
      </c>
      <c r="I670" s="6">
        <f>IFERROR(__xludf.DUMMYFUNCTION("""COMPUTED_VALUE"""),0.9317824074074074)</f>
        <v>0.9317824074</v>
      </c>
    </row>
    <row r="671">
      <c r="A671" s="2">
        <v>5.98</v>
      </c>
      <c r="B671" s="2">
        <v>228.9</v>
      </c>
      <c r="C671" s="2">
        <v>875.0</v>
      </c>
      <c r="D671" s="2">
        <v>6.13</v>
      </c>
      <c r="E671" s="2">
        <v>0.64</v>
      </c>
      <c r="F671" s="2">
        <v>50.0</v>
      </c>
      <c r="G671" s="3">
        <v>44462.93188425926</v>
      </c>
      <c r="H671" s="5">
        <f>IFERROR(__xludf.DUMMYFUNCTION("SPLIT(G671,"","")"),44462.0)</f>
        <v>44462</v>
      </c>
      <c r="I671" s="6">
        <f>IFERROR(__xludf.DUMMYFUNCTION("""COMPUTED_VALUE"""),0.931886574074074)</f>
        <v>0.9318865741</v>
      </c>
    </row>
    <row r="672">
      <c r="A672" s="2">
        <v>5.97</v>
      </c>
      <c r="B672" s="2">
        <v>229.0</v>
      </c>
      <c r="C672" s="2">
        <v>875.2</v>
      </c>
      <c r="D672" s="2">
        <v>6.14</v>
      </c>
      <c r="E672" s="2">
        <v>0.64</v>
      </c>
      <c r="F672" s="2">
        <v>50.0</v>
      </c>
      <c r="G672" s="3">
        <v>44462.93198543982</v>
      </c>
      <c r="H672" s="5">
        <f>IFERROR(__xludf.DUMMYFUNCTION("SPLIT(G672,"","")"),44462.0)</f>
        <v>44462</v>
      </c>
      <c r="I672" s="6">
        <f>IFERROR(__xludf.DUMMYFUNCTION("""COMPUTED_VALUE"""),0.9319907407407407)</f>
        <v>0.9319907407</v>
      </c>
    </row>
    <row r="673">
      <c r="A673" s="2">
        <v>5.97</v>
      </c>
      <c r="B673" s="2">
        <v>228.9</v>
      </c>
      <c r="C673" s="2">
        <v>875.5</v>
      </c>
      <c r="D673" s="2">
        <v>6.14</v>
      </c>
      <c r="E673" s="2">
        <v>0.64</v>
      </c>
      <c r="F673" s="2">
        <v>50.0</v>
      </c>
      <c r="G673" s="3">
        <v>44462.93209217592</v>
      </c>
      <c r="H673" s="5">
        <f>IFERROR(__xludf.DUMMYFUNCTION("SPLIT(G673,"","")"),44462.0)</f>
        <v>44462</v>
      </c>
      <c r="I673" s="6">
        <f>IFERROR(__xludf.DUMMYFUNCTION("""COMPUTED_VALUE"""),0.9320949074074074)</f>
        <v>0.9320949074</v>
      </c>
    </row>
    <row r="674">
      <c r="A674" s="2">
        <v>4.72</v>
      </c>
      <c r="B674" s="2">
        <v>229.5</v>
      </c>
      <c r="C674" s="2">
        <v>686.9</v>
      </c>
      <c r="D674" s="2">
        <v>6.14</v>
      </c>
      <c r="E674" s="2">
        <v>0.63</v>
      </c>
      <c r="F674" s="2">
        <v>50.0</v>
      </c>
      <c r="G674" s="3">
        <v>44462.93220033565</v>
      </c>
      <c r="H674" s="5">
        <f>IFERROR(__xludf.DUMMYFUNCTION("SPLIT(G674,"","")"),44462.0)</f>
        <v>44462</v>
      </c>
      <c r="I674" s="6">
        <f>IFERROR(__xludf.DUMMYFUNCTION("""COMPUTED_VALUE"""),0.9321990740740741)</f>
        <v>0.9321990741</v>
      </c>
    </row>
    <row r="675">
      <c r="A675" s="2">
        <v>4.19</v>
      </c>
      <c r="B675" s="2">
        <v>229.6</v>
      </c>
      <c r="C675" s="2">
        <v>597.7</v>
      </c>
      <c r="D675" s="2">
        <v>6.14</v>
      </c>
      <c r="E675" s="2">
        <v>0.62</v>
      </c>
      <c r="F675" s="2">
        <v>50.0</v>
      </c>
      <c r="G675" s="3">
        <v>44462.932302511574</v>
      </c>
      <c r="H675" s="5">
        <f>IFERROR(__xludf.DUMMYFUNCTION("SPLIT(G675,"","")"),44462.0)</f>
        <v>44462</v>
      </c>
      <c r="I675" s="6">
        <f>IFERROR(__xludf.DUMMYFUNCTION("""COMPUTED_VALUE"""),0.9323032407407408)</f>
        <v>0.9323032407</v>
      </c>
    </row>
    <row r="676">
      <c r="A676" s="2">
        <v>4.2</v>
      </c>
      <c r="B676" s="2">
        <v>229.7</v>
      </c>
      <c r="C676" s="2">
        <v>597.9</v>
      </c>
      <c r="D676" s="2">
        <v>6.14</v>
      </c>
      <c r="E676" s="2">
        <v>0.62</v>
      </c>
      <c r="F676" s="2">
        <v>50.0</v>
      </c>
      <c r="G676" s="3">
        <v>44462.932406238426</v>
      </c>
      <c r="H676" s="5">
        <f>IFERROR(__xludf.DUMMYFUNCTION("SPLIT(G676,"","")"),44462.0)</f>
        <v>44462</v>
      </c>
      <c r="I676" s="6">
        <f>IFERROR(__xludf.DUMMYFUNCTION("""COMPUTED_VALUE"""),0.9324074074074075)</f>
        <v>0.9324074074</v>
      </c>
    </row>
    <row r="677">
      <c r="A677" s="2">
        <v>4.19</v>
      </c>
      <c r="B677" s="2">
        <v>229.7</v>
      </c>
      <c r="C677" s="2">
        <v>598.0</v>
      </c>
      <c r="D677" s="2">
        <v>6.14</v>
      </c>
      <c r="E677" s="2">
        <v>0.62</v>
      </c>
      <c r="F677" s="2">
        <v>50.0</v>
      </c>
      <c r="G677" s="3">
        <v>44462.93250922454</v>
      </c>
      <c r="H677" s="5">
        <f>IFERROR(__xludf.DUMMYFUNCTION("SPLIT(G677,"","")"),44462.0)</f>
        <v>44462</v>
      </c>
      <c r="I677" s="6">
        <f>IFERROR(__xludf.DUMMYFUNCTION("""COMPUTED_VALUE"""),0.932511574074074)</f>
        <v>0.9325115741</v>
      </c>
    </row>
    <row r="678">
      <c r="A678" s="2">
        <v>4.19</v>
      </c>
      <c r="B678" s="2">
        <v>229.8</v>
      </c>
      <c r="C678" s="2">
        <v>598.4</v>
      </c>
      <c r="D678" s="2">
        <v>6.15</v>
      </c>
      <c r="E678" s="2">
        <v>0.62</v>
      </c>
      <c r="F678" s="2">
        <v>50.0</v>
      </c>
      <c r="G678" s="3">
        <v>44462.932614363424</v>
      </c>
      <c r="H678" s="5">
        <f>IFERROR(__xludf.DUMMYFUNCTION("SPLIT(G678,"","")"),44462.0)</f>
        <v>44462</v>
      </c>
      <c r="I678" s="6">
        <f>IFERROR(__xludf.DUMMYFUNCTION("""COMPUTED_VALUE"""),0.9326157407407407)</f>
        <v>0.9326157407</v>
      </c>
    </row>
    <row r="679">
      <c r="A679" s="2">
        <v>4.19</v>
      </c>
      <c r="B679" s="2">
        <v>229.7</v>
      </c>
      <c r="C679" s="2">
        <v>598.6</v>
      </c>
      <c r="D679" s="2">
        <v>6.15</v>
      </c>
      <c r="E679" s="2">
        <v>0.62</v>
      </c>
      <c r="F679" s="2">
        <v>50.0</v>
      </c>
      <c r="G679" s="3">
        <v>44462.93272702546</v>
      </c>
      <c r="H679" s="5">
        <f>IFERROR(__xludf.DUMMYFUNCTION("SPLIT(G679,"","")"),44462.0)</f>
        <v>44462</v>
      </c>
      <c r="I679" s="6">
        <f>IFERROR(__xludf.DUMMYFUNCTION("""COMPUTED_VALUE"""),0.9327314814814814)</f>
        <v>0.9327314815</v>
      </c>
    </row>
    <row r="680">
      <c r="A680" s="2">
        <v>4.19</v>
      </c>
      <c r="B680" s="2">
        <v>229.8</v>
      </c>
      <c r="C680" s="2">
        <v>598.8</v>
      </c>
      <c r="D680" s="2">
        <v>6.15</v>
      </c>
      <c r="E680" s="2">
        <v>0.62</v>
      </c>
      <c r="F680" s="2">
        <v>49.9</v>
      </c>
      <c r="G680" s="3">
        <v>44462.93282700231</v>
      </c>
      <c r="H680" s="5">
        <f>IFERROR(__xludf.DUMMYFUNCTION("SPLIT(G680,"","")"),44462.0)</f>
        <v>44462</v>
      </c>
      <c r="I680" s="6">
        <f>IFERROR(__xludf.DUMMYFUNCTION("""COMPUTED_VALUE"""),0.9328240740740741)</f>
        <v>0.9328240741</v>
      </c>
    </row>
    <row r="681">
      <c r="A681" s="2">
        <v>4.19</v>
      </c>
      <c r="B681" s="2">
        <v>229.7</v>
      </c>
      <c r="C681" s="2">
        <v>599.0</v>
      </c>
      <c r="D681" s="2">
        <v>6.15</v>
      </c>
      <c r="E681" s="2">
        <v>0.62</v>
      </c>
      <c r="F681" s="2">
        <v>50.0</v>
      </c>
      <c r="G681" s="3">
        <v>44462.932929097224</v>
      </c>
      <c r="H681" s="5">
        <f>IFERROR(__xludf.DUMMYFUNCTION("SPLIT(G681,"","")"),44462.0)</f>
        <v>44462</v>
      </c>
      <c r="I681" s="6">
        <f>IFERROR(__xludf.DUMMYFUNCTION("""COMPUTED_VALUE"""),0.9329282407407408)</f>
        <v>0.9329282407</v>
      </c>
    </row>
    <row r="682">
      <c r="A682" s="2">
        <v>4.19</v>
      </c>
      <c r="B682" s="2">
        <v>229.9</v>
      </c>
      <c r="C682" s="2">
        <v>599.2</v>
      </c>
      <c r="D682" s="2">
        <v>6.15</v>
      </c>
      <c r="E682" s="2">
        <v>0.62</v>
      </c>
      <c r="F682" s="2">
        <v>49.9</v>
      </c>
      <c r="G682" s="3">
        <v>44462.93303534722</v>
      </c>
      <c r="H682" s="5">
        <f>IFERROR(__xludf.DUMMYFUNCTION("SPLIT(G682,"","")"),44462.0)</f>
        <v>44462</v>
      </c>
      <c r="I682" s="6">
        <f>IFERROR(__xludf.DUMMYFUNCTION("""COMPUTED_VALUE"""),0.9330324074074074)</f>
        <v>0.9330324074</v>
      </c>
    </row>
    <row r="683">
      <c r="A683" s="2">
        <v>4.13</v>
      </c>
      <c r="B683" s="2">
        <v>230.8</v>
      </c>
      <c r="C683" s="2">
        <v>599.4</v>
      </c>
      <c r="D683" s="2">
        <v>6.15</v>
      </c>
      <c r="E683" s="2">
        <v>0.63</v>
      </c>
      <c r="F683" s="2">
        <v>50.0</v>
      </c>
      <c r="G683" s="3">
        <v>44462.93314472222</v>
      </c>
      <c r="H683" s="5">
        <f>IFERROR(__xludf.DUMMYFUNCTION("SPLIT(G683,"","")"),44462.0)</f>
        <v>44462</v>
      </c>
      <c r="I683" s="6">
        <f>IFERROR(__xludf.DUMMYFUNCTION("""COMPUTED_VALUE"""),0.9331481481481482)</f>
        <v>0.9331481481</v>
      </c>
    </row>
    <row r="684">
      <c r="A684" s="2">
        <v>4.14</v>
      </c>
      <c r="B684" s="2">
        <v>230.8</v>
      </c>
      <c r="C684" s="2">
        <v>599.5</v>
      </c>
      <c r="D684" s="2">
        <v>6.16</v>
      </c>
      <c r="E684" s="2">
        <v>0.63</v>
      </c>
      <c r="F684" s="2">
        <v>50.0</v>
      </c>
      <c r="G684" s="3">
        <v>44462.93325488426</v>
      </c>
      <c r="H684" s="5">
        <f>IFERROR(__xludf.DUMMYFUNCTION("SPLIT(G684,"","")"),44462.0)</f>
        <v>44462</v>
      </c>
      <c r="I684" s="6">
        <f>IFERROR(__xludf.DUMMYFUNCTION("""COMPUTED_VALUE"""),0.9332523148148149)</f>
        <v>0.9332523148</v>
      </c>
    </row>
    <row r="685">
      <c r="A685" s="2">
        <v>4.13</v>
      </c>
      <c r="B685" s="2">
        <v>230.9</v>
      </c>
      <c r="C685" s="2">
        <v>599.7</v>
      </c>
      <c r="D685" s="2">
        <v>6.16</v>
      </c>
      <c r="E685" s="2">
        <v>0.63</v>
      </c>
      <c r="F685" s="2">
        <v>50.0</v>
      </c>
      <c r="G685" s="3">
        <v>44462.93336284722</v>
      </c>
      <c r="H685" s="5">
        <f>IFERROR(__xludf.DUMMYFUNCTION("SPLIT(G685,"","")"),44462.0)</f>
        <v>44462</v>
      </c>
      <c r="I685" s="6">
        <f>IFERROR(__xludf.DUMMYFUNCTION("""COMPUTED_VALUE"""),0.9333680555555556)</f>
        <v>0.9333680556</v>
      </c>
    </row>
    <row r="686">
      <c r="A686" s="2">
        <v>4.13</v>
      </c>
      <c r="B686" s="2">
        <v>231.0</v>
      </c>
      <c r="C686" s="2">
        <v>599.9</v>
      </c>
      <c r="D686" s="2">
        <v>6.16</v>
      </c>
      <c r="E686" s="2">
        <v>0.63</v>
      </c>
      <c r="F686" s="2">
        <v>50.0</v>
      </c>
      <c r="G686" s="3">
        <v>44462.933465497685</v>
      </c>
      <c r="H686" s="5">
        <f>IFERROR(__xludf.DUMMYFUNCTION("SPLIT(G686,"","")"),44462.0)</f>
        <v>44462</v>
      </c>
      <c r="I686" s="6">
        <f>IFERROR(__xludf.DUMMYFUNCTION("""COMPUTED_VALUE"""),0.9334606481481481)</f>
        <v>0.9334606481</v>
      </c>
    </row>
    <row r="687">
      <c r="A687" s="2">
        <v>4.13</v>
      </c>
      <c r="B687" s="2">
        <v>230.9</v>
      </c>
      <c r="C687" s="2">
        <v>599.9</v>
      </c>
      <c r="D687" s="2">
        <v>6.16</v>
      </c>
      <c r="E687" s="2">
        <v>0.63</v>
      </c>
      <c r="F687" s="2">
        <v>50.0</v>
      </c>
      <c r="G687" s="3">
        <v>44462.93357787037</v>
      </c>
      <c r="H687" s="5">
        <f>IFERROR(__xludf.DUMMYFUNCTION("SPLIT(G687,"","")"),44462.0)</f>
        <v>44462</v>
      </c>
      <c r="I687" s="6">
        <f>IFERROR(__xludf.DUMMYFUNCTION("""COMPUTED_VALUE"""),0.9335763888888889)</f>
        <v>0.9335763889</v>
      </c>
    </row>
    <row r="688">
      <c r="A688" s="2">
        <v>4.14</v>
      </c>
      <c r="B688" s="2">
        <v>230.9</v>
      </c>
      <c r="C688" s="2">
        <v>600.1</v>
      </c>
      <c r="D688" s="2">
        <v>6.16</v>
      </c>
      <c r="E688" s="2">
        <v>0.63</v>
      </c>
      <c r="F688" s="2">
        <v>50.0</v>
      </c>
      <c r="G688" s="3">
        <v>44462.93368648148</v>
      </c>
      <c r="H688" s="5">
        <f>IFERROR(__xludf.DUMMYFUNCTION("SPLIT(G688,"","")"),44462.0)</f>
        <v>44462</v>
      </c>
      <c r="I688" s="6">
        <f>IFERROR(__xludf.DUMMYFUNCTION("""COMPUTED_VALUE"""),0.9336921296296297)</f>
        <v>0.9336921296</v>
      </c>
    </row>
    <row r="689">
      <c r="A689" s="2">
        <v>4.14</v>
      </c>
      <c r="B689" s="2">
        <v>230.7</v>
      </c>
      <c r="C689" s="2">
        <v>600.2</v>
      </c>
      <c r="D689" s="2">
        <v>6.16</v>
      </c>
      <c r="E689" s="2">
        <v>0.63</v>
      </c>
      <c r="F689" s="2">
        <v>50.0</v>
      </c>
      <c r="G689" s="3">
        <v>44462.93378555556</v>
      </c>
      <c r="H689" s="5">
        <f>IFERROR(__xludf.DUMMYFUNCTION("SPLIT(G689,"","")"),44462.0)</f>
        <v>44462</v>
      </c>
      <c r="I689" s="6">
        <f>IFERROR(__xludf.DUMMYFUNCTION("""COMPUTED_VALUE"""),0.9337847222222222)</f>
        <v>0.9337847222</v>
      </c>
    </row>
    <row r="690">
      <c r="A690" s="2">
        <v>4.15</v>
      </c>
      <c r="B690" s="2">
        <v>230.7</v>
      </c>
      <c r="C690" s="2">
        <v>600.3</v>
      </c>
      <c r="D690" s="2">
        <v>6.16</v>
      </c>
      <c r="E690" s="2">
        <v>0.63</v>
      </c>
      <c r="F690" s="2">
        <v>50.0</v>
      </c>
      <c r="G690" s="3">
        <v>44462.93389167824</v>
      </c>
      <c r="H690" s="5">
        <f>IFERROR(__xludf.DUMMYFUNCTION("SPLIT(G690,"","")"),44462.0)</f>
        <v>44462</v>
      </c>
      <c r="I690" s="6">
        <f>IFERROR(__xludf.DUMMYFUNCTION("""COMPUTED_VALUE"""),0.9338888888888889)</f>
        <v>0.9338888889</v>
      </c>
    </row>
    <row r="691">
      <c r="A691" s="2">
        <v>4.15</v>
      </c>
      <c r="B691" s="2">
        <v>230.6</v>
      </c>
      <c r="C691" s="2">
        <v>600.4</v>
      </c>
      <c r="D691" s="2">
        <v>6.17</v>
      </c>
      <c r="E691" s="2">
        <v>0.63</v>
      </c>
      <c r="F691" s="2">
        <v>50.0</v>
      </c>
      <c r="G691" s="3">
        <v>44462.934002800925</v>
      </c>
      <c r="H691" s="5">
        <f>IFERROR(__xludf.DUMMYFUNCTION("SPLIT(G691,"","")"),44462.0)</f>
        <v>44462</v>
      </c>
      <c r="I691" s="6">
        <f>IFERROR(__xludf.DUMMYFUNCTION("""COMPUTED_VALUE"""),0.9340046296296296)</f>
        <v>0.9340046296</v>
      </c>
    </row>
    <row r="692">
      <c r="A692" s="2">
        <v>4.16</v>
      </c>
      <c r="B692" s="2">
        <v>230.7</v>
      </c>
      <c r="C692" s="2">
        <v>600.6</v>
      </c>
      <c r="D692" s="2">
        <v>6.17</v>
      </c>
      <c r="E692" s="2">
        <v>0.63</v>
      </c>
      <c r="F692" s="2">
        <v>50.0</v>
      </c>
      <c r="G692" s="3">
        <v>44462.93410899305</v>
      </c>
      <c r="H692" s="5">
        <f>IFERROR(__xludf.DUMMYFUNCTION("SPLIT(G692,"","")"),44462.0)</f>
        <v>44462</v>
      </c>
      <c r="I692" s="6">
        <f>IFERROR(__xludf.DUMMYFUNCTION("""COMPUTED_VALUE"""),0.9341087962962963)</f>
        <v>0.9341087963</v>
      </c>
    </row>
    <row r="693">
      <c r="A693" s="2">
        <v>4.15</v>
      </c>
      <c r="B693" s="2">
        <v>230.6</v>
      </c>
      <c r="C693" s="2">
        <v>600.7</v>
      </c>
      <c r="D693" s="2">
        <v>6.17</v>
      </c>
      <c r="E693" s="2">
        <v>0.63</v>
      </c>
      <c r="F693" s="2">
        <v>50.0</v>
      </c>
      <c r="G693" s="3">
        <v>44462.93421457176</v>
      </c>
      <c r="H693" s="5">
        <f>IFERROR(__xludf.DUMMYFUNCTION("SPLIT(G693,"","")"),44462.0)</f>
        <v>44462</v>
      </c>
      <c r="I693" s="6">
        <f>IFERROR(__xludf.DUMMYFUNCTION("""COMPUTED_VALUE"""),0.934212962962963)</f>
        <v>0.934212963</v>
      </c>
    </row>
    <row r="694">
      <c r="A694" s="2">
        <v>4.15</v>
      </c>
      <c r="B694" s="2">
        <v>230.6</v>
      </c>
      <c r="C694" s="2">
        <v>600.9</v>
      </c>
      <c r="D694" s="2">
        <v>6.17</v>
      </c>
      <c r="E694" s="2">
        <v>0.63</v>
      </c>
      <c r="F694" s="2">
        <v>50.0</v>
      </c>
      <c r="G694" s="3">
        <v>44462.93432195602</v>
      </c>
      <c r="H694" s="5">
        <f>IFERROR(__xludf.DUMMYFUNCTION("SPLIT(G694,"","")"),44462.0)</f>
        <v>44462</v>
      </c>
      <c r="I694" s="6">
        <f>IFERROR(__xludf.DUMMYFUNCTION("""COMPUTED_VALUE"""),0.9343171296296297)</f>
        <v>0.9343171296</v>
      </c>
    </row>
    <row r="695">
      <c r="A695" s="2">
        <v>4.14</v>
      </c>
      <c r="B695" s="2">
        <v>230.6</v>
      </c>
      <c r="C695" s="2">
        <v>600.9</v>
      </c>
      <c r="D695" s="2">
        <v>6.17</v>
      </c>
      <c r="E695" s="2">
        <v>0.63</v>
      </c>
      <c r="F695" s="2">
        <v>50.0</v>
      </c>
      <c r="G695" s="3">
        <v>44462.934432685186</v>
      </c>
      <c r="H695" s="5">
        <f>IFERROR(__xludf.DUMMYFUNCTION("SPLIT(G695,"","")"),44462.0)</f>
        <v>44462</v>
      </c>
      <c r="I695" s="6">
        <f>IFERROR(__xludf.DUMMYFUNCTION("""COMPUTED_VALUE"""),0.9344328703703704)</f>
        <v>0.9344328704</v>
      </c>
    </row>
    <row r="696">
      <c r="A696" s="2">
        <v>4.14</v>
      </c>
      <c r="B696" s="2">
        <v>230.8</v>
      </c>
      <c r="C696" s="2">
        <v>601.1</v>
      </c>
      <c r="D696" s="2">
        <v>6.17</v>
      </c>
      <c r="E696" s="2">
        <v>0.63</v>
      </c>
      <c r="F696" s="2">
        <v>50.0</v>
      </c>
      <c r="G696" s="3">
        <v>44462.93453622685</v>
      </c>
      <c r="H696" s="5">
        <f>IFERROR(__xludf.DUMMYFUNCTION("SPLIT(G696,"","")"),44462.0)</f>
        <v>44462</v>
      </c>
      <c r="I696" s="6">
        <f>IFERROR(__xludf.DUMMYFUNCTION("""COMPUTED_VALUE"""),0.934537037037037)</f>
        <v>0.934537037</v>
      </c>
    </row>
    <row r="697">
      <c r="A697" s="2">
        <v>4.14</v>
      </c>
      <c r="B697" s="2">
        <v>230.9</v>
      </c>
      <c r="C697" s="2">
        <v>601.2</v>
      </c>
      <c r="D697" s="2">
        <v>6.18</v>
      </c>
      <c r="E697" s="2">
        <v>0.63</v>
      </c>
      <c r="F697" s="2">
        <v>50.0</v>
      </c>
      <c r="G697" s="3">
        <v>44462.934637349535</v>
      </c>
      <c r="H697" s="5">
        <f>IFERROR(__xludf.DUMMYFUNCTION("SPLIT(G697,"","")"),44462.0)</f>
        <v>44462</v>
      </c>
      <c r="I697" s="6">
        <f>IFERROR(__xludf.DUMMYFUNCTION("""COMPUTED_VALUE"""),0.9346412037037037)</f>
        <v>0.9346412037</v>
      </c>
    </row>
    <row r="698">
      <c r="A698" s="2">
        <v>4.13</v>
      </c>
      <c r="B698" s="2">
        <v>231.0</v>
      </c>
      <c r="C698" s="2">
        <v>601.4</v>
      </c>
      <c r="D698" s="2">
        <v>6.18</v>
      </c>
      <c r="E698" s="2">
        <v>0.63</v>
      </c>
      <c r="F698" s="2">
        <v>49.9</v>
      </c>
      <c r="G698" s="3">
        <v>44462.934741296296</v>
      </c>
      <c r="H698" s="5">
        <f>IFERROR(__xludf.DUMMYFUNCTION("SPLIT(G698,"","")"),44462.0)</f>
        <v>44462</v>
      </c>
      <c r="I698" s="6">
        <f>IFERROR(__xludf.DUMMYFUNCTION("""COMPUTED_VALUE"""),0.9347453703703704)</f>
        <v>0.9347453704</v>
      </c>
    </row>
    <row r="699">
      <c r="A699" s="2">
        <v>4.14</v>
      </c>
      <c r="B699" s="2">
        <v>230.9</v>
      </c>
      <c r="C699" s="2">
        <v>601.6</v>
      </c>
      <c r="D699" s="2">
        <v>6.18</v>
      </c>
      <c r="E699" s="2">
        <v>0.63</v>
      </c>
      <c r="F699" s="2">
        <v>50.0</v>
      </c>
      <c r="G699" s="3">
        <v>44462.93484130787</v>
      </c>
      <c r="H699" s="5">
        <f>IFERROR(__xludf.DUMMYFUNCTION("SPLIT(G699,"","")"),44462.0)</f>
        <v>44462</v>
      </c>
      <c r="I699" s="6">
        <f>IFERROR(__xludf.DUMMYFUNCTION("""COMPUTED_VALUE"""),0.934837962962963)</f>
        <v>0.934837963</v>
      </c>
    </row>
    <row r="700">
      <c r="A700" s="2">
        <v>4.14</v>
      </c>
      <c r="B700" s="2">
        <v>230.9</v>
      </c>
      <c r="C700" s="2">
        <v>601.7</v>
      </c>
      <c r="D700" s="2">
        <v>6.18</v>
      </c>
      <c r="E700" s="2">
        <v>0.63</v>
      </c>
      <c r="F700" s="2">
        <v>49.9</v>
      </c>
      <c r="G700" s="3">
        <v>44462.934942824075</v>
      </c>
      <c r="H700" s="5">
        <f>IFERROR(__xludf.DUMMYFUNCTION("SPLIT(G700,"","")"),44462.0)</f>
        <v>44462</v>
      </c>
      <c r="I700" s="6">
        <f>IFERROR(__xludf.DUMMYFUNCTION("""COMPUTED_VALUE"""),0.9349421296296296)</f>
        <v>0.9349421296</v>
      </c>
    </row>
    <row r="701">
      <c r="A701" s="2">
        <v>4.14</v>
      </c>
      <c r="B701" s="2">
        <v>231.0</v>
      </c>
      <c r="C701" s="2">
        <v>601.7</v>
      </c>
      <c r="D701" s="2">
        <v>6.18</v>
      </c>
      <c r="E701" s="2">
        <v>0.63</v>
      </c>
      <c r="F701" s="2">
        <v>50.0</v>
      </c>
      <c r="G701" s="3">
        <v>44462.93504950231</v>
      </c>
      <c r="H701" s="5">
        <f>IFERROR(__xludf.DUMMYFUNCTION("SPLIT(G701,"","")"),44462.0)</f>
        <v>44462</v>
      </c>
      <c r="I701" s="6">
        <f>IFERROR(__xludf.DUMMYFUNCTION("""COMPUTED_VALUE"""),0.9350462962962963)</f>
        <v>0.9350462963</v>
      </c>
    </row>
    <row r="702">
      <c r="A702" s="2">
        <v>4.14</v>
      </c>
      <c r="B702" s="2">
        <v>231.2</v>
      </c>
      <c r="C702" s="2">
        <v>601.9</v>
      </c>
      <c r="D702" s="2">
        <v>6.18</v>
      </c>
      <c r="E702" s="2">
        <v>0.63</v>
      </c>
      <c r="F702" s="2">
        <v>50.0</v>
      </c>
      <c r="G702" s="3">
        <v>44462.9351633912</v>
      </c>
      <c r="H702" s="5">
        <f>IFERROR(__xludf.DUMMYFUNCTION("SPLIT(G702,"","")"),44462.0)</f>
        <v>44462</v>
      </c>
      <c r="I702" s="6">
        <f>IFERROR(__xludf.DUMMYFUNCTION("""COMPUTED_VALUE"""),0.935162037037037)</f>
        <v>0.935162037</v>
      </c>
    </row>
    <row r="703">
      <c r="A703" s="2">
        <v>4.15</v>
      </c>
      <c r="B703" s="2">
        <v>231.2</v>
      </c>
      <c r="C703" s="2">
        <v>602.1</v>
      </c>
      <c r="D703" s="2">
        <v>6.18</v>
      </c>
      <c r="E703" s="2">
        <v>0.63</v>
      </c>
      <c r="F703" s="2">
        <v>50.0</v>
      </c>
      <c r="G703" s="3">
        <v>44462.935270358794</v>
      </c>
      <c r="H703" s="5">
        <f>IFERROR(__xludf.DUMMYFUNCTION("SPLIT(G703,"","")"),44462.0)</f>
        <v>44462</v>
      </c>
      <c r="I703" s="6">
        <f>IFERROR(__xludf.DUMMYFUNCTION("""COMPUTED_VALUE"""),0.9352662037037037)</f>
        <v>0.9352662037</v>
      </c>
    </row>
    <row r="704">
      <c r="A704" s="2">
        <v>4.14</v>
      </c>
      <c r="B704" s="2">
        <v>231.3</v>
      </c>
      <c r="C704" s="2">
        <v>602.2</v>
      </c>
      <c r="D704" s="2">
        <v>6.19</v>
      </c>
      <c r="E704" s="2">
        <v>0.63</v>
      </c>
      <c r="F704" s="2">
        <v>50.0</v>
      </c>
      <c r="G704" s="3">
        <v>44462.93537309028</v>
      </c>
      <c r="H704" s="5">
        <f>IFERROR(__xludf.DUMMYFUNCTION("SPLIT(G704,"","")"),44462.0)</f>
        <v>44462</v>
      </c>
      <c r="I704" s="6">
        <f>IFERROR(__xludf.DUMMYFUNCTION("""COMPUTED_VALUE"""),0.9353703703703704)</f>
        <v>0.9353703704</v>
      </c>
    </row>
    <row r="705">
      <c r="A705" s="2">
        <v>4.14</v>
      </c>
      <c r="B705" s="2">
        <v>231.2</v>
      </c>
      <c r="C705" s="2">
        <v>602.5</v>
      </c>
      <c r="D705" s="2">
        <v>6.19</v>
      </c>
      <c r="E705" s="2">
        <v>0.63</v>
      </c>
      <c r="F705" s="2">
        <v>50.0</v>
      </c>
      <c r="G705" s="3">
        <v>44462.93547229166</v>
      </c>
      <c r="H705" s="5">
        <f>IFERROR(__xludf.DUMMYFUNCTION("SPLIT(G705,"","")"),44462.0)</f>
        <v>44462</v>
      </c>
      <c r="I705" s="6">
        <f>IFERROR(__xludf.DUMMYFUNCTION("""COMPUTED_VALUE"""),0.9354745370370371)</f>
        <v>0.935474537</v>
      </c>
    </row>
    <row r="706">
      <c r="A706" s="2">
        <v>4.15</v>
      </c>
      <c r="B706" s="2">
        <v>231.1</v>
      </c>
      <c r="C706" s="2">
        <v>602.7</v>
      </c>
      <c r="D706" s="2">
        <v>6.19</v>
      </c>
      <c r="E706" s="2">
        <v>0.63</v>
      </c>
      <c r="F706" s="2">
        <v>50.0</v>
      </c>
      <c r="G706" s="3">
        <v>44462.935570891204</v>
      </c>
      <c r="H706" s="5">
        <f>IFERROR(__xludf.DUMMYFUNCTION("SPLIT(G706,"","")"),44462.0)</f>
        <v>44462</v>
      </c>
      <c r="I706" s="6">
        <f>IFERROR(__xludf.DUMMYFUNCTION("""COMPUTED_VALUE"""),0.9355671296296296)</f>
        <v>0.9355671296</v>
      </c>
    </row>
    <row r="707">
      <c r="A707" s="2">
        <v>4.15</v>
      </c>
      <c r="B707" s="2">
        <v>231.0</v>
      </c>
      <c r="C707" s="2">
        <v>602.9</v>
      </c>
      <c r="D707" s="2">
        <v>6.19</v>
      </c>
      <c r="E707" s="2">
        <v>0.63</v>
      </c>
      <c r="F707" s="2">
        <v>50.0</v>
      </c>
      <c r="G707" s="3">
        <v>44462.93570152778</v>
      </c>
      <c r="H707" s="5">
        <f>IFERROR(__xludf.DUMMYFUNCTION("SPLIT(G707,"","")"),44462.0)</f>
        <v>44462</v>
      </c>
      <c r="I707" s="6">
        <f>IFERROR(__xludf.DUMMYFUNCTION("""COMPUTED_VALUE"""),0.9357060185185185)</f>
        <v>0.9357060185</v>
      </c>
    </row>
    <row r="708">
      <c r="A708" s="2">
        <v>3.96</v>
      </c>
      <c r="B708" s="2">
        <v>229.6</v>
      </c>
      <c r="C708" s="2">
        <v>603.1</v>
      </c>
      <c r="D708" s="2">
        <v>6.19</v>
      </c>
      <c r="E708" s="2">
        <v>0.66</v>
      </c>
      <c r="F708" s="2">
        <v>50.0</v>
      </c>
      <c r="G708" s="3">
        <v>44462.93580025463</v>
      </c>
      <c r="H708" s="5">
        <f>IFERROR(__xludf.DUMMYFUNCTION("SPLIT(G708,"","")"),44462.0)</f>
        <v>44462</v>
      </c>
      <c r="I708" s="6">
        <f>IFERROR(__xludf.DUMMYFUNCTION("""COMPUTED_VALUE"""),0.9357986111111111)</f>
        <v>0.9357986111</v>
      </c>
    </row>
    <row r="709">
      <c r="A709" s="2">
        <v>3.96</v>
      </c>
      <c r="B709" s="2">
        <v>229.8</v>
      </c>
      <c r="C709" s="2">
        <v>603.2</v>
      </c>
      <c r="D709" s="2">
        <v>6.19</v>
      </c>
      <c r="E709" s="2">
        <v>0.66</v>
      </c>
      <c r="F709" s="2">
        <v>50.0</v>
      </c>
      <c r="G709" s="3">
        <v>44462.93590074074</v>
      </c>
      <c r="H709" s="5">
        <f>IFERROR(__xludf.DUMMYFUNCTION("SPLIT(G709,"","")"),44462.0)</f>
        <v>44462</v>
      </c>
      <c r="I709" s="6">
        <f>IFERROR(__xludf.DUMMYFUNCTION("""COMPUTED_VALUE"""),0.9359027777777778)</f>
        <v>0.9359027778</v>
      </c>
    </row>
    <row r="710">
      <c r="A710" s="2">
        <v>4.24</v>
      </c>
      <c r="B710" s="2">
        <v>229.9</v>
      </c>
      <c r="C710" s="2">
        <v>602.5</v>
      </c>
      <c r="D710" s="2">
        <v>6.2</v>
      </c>
      <c r="E710" s="2">
        <v>0.62</v>
      </c>
      <c r="F710" s="2">
        <v>50.0</v>
      </c>
      <c r="G710" s="3">
        <v>44462.936004965275</v>
      </c>
      <c r="H710" s="5">
        <f>IFERROR(__xludf.DUMMYFUNCTION("SPLIT(G710,"","")"),44462.0)</f>
        <v>44462</v>
      </c>
      <c r="I710" s="6">
        <f>IFERROR(__xludf.DUMMYFUNCTION("""COMPUTED_VALUE"""),0.9360069444444444)</f>
        <v>0.9360069444</v>
      </c>
    </row>
    <row r="711">
      <c r="A711" s="2">
        <v>4.11</v>
      </c>
      <c r="B711" s="2">
        <v>229.7</v>
      </c>
      <c r="C711" s="2">
        <v>602.8</v>
      </c>
      <c r="D711" s="2">
        <v>6.2</v>
      </c>
      <c r="E711" s="2">
        <v>0.64</v>
      </c>
      <c r="F711" s="2">
        <v>50.0</v>
      </c>
      <c r="G711" s="3">
        <v>44462.936109594906</v>
      </c>
      <c r="H711" s="5">
        <f>IFERROR(__xludf.DUMMYFUNCTION("SPLIT(G711,"","")"),44462.0)</f>
        <v>44462</v>
      </c>
      <c r="I711" s="6">
        <f>IFERROR(__xludf.DUMMYFUNCTION("""COMPUTED_VALUE"""),0.9361111111111111)</f>
        <v>0.9361111111</v>
      </c>
    </row>
    <row r="712">
      <c r="A712" s="2">
        <v>4.12</v>
      </c>
      <c r="B712" s="2">
        <v>229.6</v>
      </c>
      <c r="C712" s="2">
        <v>602.9</v>
      </c>
      <c r="D712" s="2">
        <v>6.2</v>
      </c>
      <c r="E712" s="2">
        <v>0.64</v>
      </c>
      <c r="F712" s="2">
        <v>49.9</v>
      </c>
      <c r="G712" s="3">
        <v>44462.936208831015</v>
      </c>
      <c r="H712" s="5">
        <f>IFERROR(__xludf.DUMMYFUNCTION("SPLIT(G712,"","")"),44462.0)</f>
        <v>44462</v>
      </c>
      <c r="I712" s="6">
        <f>IFERROR(__xludf.DUMMYFUNCTION("""COMPUTED_VALUE"""),0.9362037037037036)</f>
        <v>0.9362037037</v>
      </c>
    </row>
    <row r="713">
      <c r="A713" s="2">
        <v>3.99</v>
      </c>
      <c r="B713" s="2">
        <v>229.4</v>
      </c>
      <c r="C713" s="2">
        <v>603.5</v>
      </c>
      <c r="D713" s="2">
        <v>6.2</v>
      </c>
      <c r="E713" s="2">
        <v>0.66</v>
      </c>
      <c r="F713" s="2">
        <v>49.9</v>
      </c>
      <c r="G713" s="3">
        <v>44462.9363125</v>
      </c>
      <c r="H713" s="5">
        <f>IFERROR(__xludf.DUMMYFUNCTION("SPLIT(G713,"","")"),44462.0)</f>
        <v>44462</v>
      </c>
      <c r="I713" s="6">
        <f>IFERROR(__xludf.DUMMYFUNCTION("""COMPUTED_VALUE"""),0.9363078703703703)</f>
        <v>0.9363078704</v>
      </c>
    </row>
    <row r="714">
      <c r="A714" s="2">
        <v>3.99</v>
      </c>
      <c r="B714" s="2">
        <v>229.3</v>
      </c>
      <c r="C714" s="2">
        <v>603.6</v>
      </c>
      <c r="D714" s="2">
        <v>6.2</v>
      </c>
      <c r="E714" s="2">
        <v>0.66</v>
      </c>
      <c r="F714" s="2">
        <v>50.0</v>
      </c>
      <c r="G714" s="3">
        <v>44462.936415902775</v>
      </c>
      <c r="H714" s="5">
        <f>IFERROR(__xludf.DUMMYFUNCTION("SPLIT(G714,"","")"),44462.0)</f>
        <v>44462</v>
      </c>
      <c r="I714" s="6">
        <f>IFERROR(__xludf.DUMMYFUNCTION("""COMPUTED_VALUE"""),0.936412037037037)</f>
        <v>0.936412037</v>
      </c>
    </row>
    <row r="715">
      <c r="A715" s="2">
        <v>4.24</v>
      </c>
      <c r="B715" s="2">
        <v>229.0</v>
      </c>
      <c r="C715" s="2">
        <v>604.1</v>
      </c>
      <c r="D715" s="2">
        <v>6.2</v>
      </c>
      <c r="E715" s="2">
        <v>0.62</v>
      </c>
      <c r="F715" s="2">
        <v>50.0</v>
      </c>
      <c r="G715" s="3">
        <v>44462.93651836806</v>
      </c>
      <c r="H715" s="5">
        <f>IFERROR(__xludf.DUMMYFUNCTION("SPLIT(G715,"","")"),44462.0)</f>
        <v>44462</v>
      </c>
      <c r="I715" s="6">
        <f>IFERROR(__xludf.DUMMYFUNCTION("""COMPUTED_VALUE"""),0.9365162037037037)</f>
        <v>0.9365162037</v>
      </c>
    </row>
    <row r="716">
      <c r="A716" s="2">
        <v>4.23</v>
      </c>
      <c r="B716" s="2">
        <v>229.4</v>
      </c>
      <c r="C716" s="2">
        <v>604.6</v>
      </c>
      <c r="D716" s="2">
        <v>6.2</v>
      </c>
      <c r="E716" s="2">
        <v>0.62</v>
      </c>
      <c r="F716" s="2">
        <v>50.0</v>
      </c>
      <c r="G716" s="3">
        <v>44462.93662386574</v>
      </c>
      <c r="H716" s="5">
        <f>IFERROR(__xludf.DUMMYFUNCTION("SPLIT(G716,"","")"),44462.0)</f>
        <v>44462</v>
      </c>
      <c r="I716" s="6">
        <f>IFERROR(__xludf.DUMMYFUNCTION("""COMPUTED_VALUE"""),0.9366203703703704)</f>
        <v>0.9366203704</v>
      </c>
    </row>
    <row r="717">
      <c r="A717" s="2">
        <v>4.17</v>
      </c>
      <c r="B717" s="2">
        <v>230.7</v>
      </c>
      <c r="C717" s="2">
        <v>604.2</v>
      </c>
      <c r="D717" s="2">
        <v>6.21</v>
      </c>
      <c r="E717" s="2">
        <v>0.63</v>
      </c>
      <c r="F717" s="2">
        <v>50.0</v>
      </c>
      <c r="G717" s="3">
        <v>44462.93673545139</v>
      </c>
      <c r="H717" s="5">
        <f>IFERROR(__xludf.DUMMYFUNCTION("SPLIT(G717,"","")"),44462.0)</f>
        <v>44462</v>
      </c>
      <c r="I717" s="6">
        <f>IFERROR(__xludf.DUMMYFUNCTION("""COMPUTED_VALUE"""),0.9367361111111111)</f>
        <v>0.9367361111</v>
      </c>
    </row>
    <row r="718">
      <c r="A718" s="2">
        <v>4.18</v>
      </c>
      <c r="B718" s="2">
        <v>230.8</v>
      </c>
      <c r="C718" s="2">
        <v>604.4</v>
      </c>
      <c r="D718" s="2">
        <v>6.21</v>
      </c>
      <c r="E718" s="2">
        <v>0.63</v>
      </c>
      <c r="F718" s="2">
        <v>50.0</v>
      </c>
      <c r="G718" s="3">
        <v>44462.93684202546</v>
      </c>
      <c r="H718" s="5">
        <f>IFERROR(__xludf.DUMMYFUNCTION("SPLIT(G718,"","")"),44462.0)</f>
        <v>44462</v>
      </c>
      <c r="I718" s="6">
        <f>IFERROR(__xludf.DUMMYFUNCTION("""COMPUTED_VALUE"""),0.9368402777777778)</f>
        <v>0.9368402778</v>
      </c>
    </row>
    <row r="719">
      <c r="A719" s="2">
        <v>4.18</v>
      </c>
      <c r="B719" s="2">
        <v>230.9</v>
      </c>
      <c r="C719" s="2">
        <v>604.7</v>
      </c>
      <c r="D719" s="2">
        <v>6.21</v>
      </c>
      <c r="E719" s="2">
        <v>0.63</v>
      </c>
      <c r="F719" s="2">
        <v>50.0</v>
      </c>
      <c r="G719" s="3">
        <v>44462.93694746528</v>
      </c>
      <c r="H719" s="5">
        <f>IFERROR(__xludf.DUMMYFUNCTION("SPLIT(G719,"","")"),44462.0)</f>
        <v>44462</v>
      </c>
      <c r="I719" s="6">
        <f>IFERROR(__xludf.DUMMYFUNCTION("""COMPUTED_VALUE"""),0.9369444444444445)</f>
        <v>0.9369444444</v>
      </c>
    </row>
    <row r="720">
      <c r="A720" s="2">
        <v>4.16</v>
      </c>
      <c r="B720" s="2">
        <v>231.0</v>
      </c>
      <c r="C720" s="2">
        <v>604.8</v>
      </c>
      <c r="D720" s="2">
        <v>6.21</v>
      </c>
      <c r="E720" s="2">
        <v>0.63</v>
      </c>
      <c r="F720" s="2">
        <v>50.0</v>
      </c>
      <c r="G720" s="3">
        <v>44462.93705361111</v>
      </c>
      <c r="H720" s="5">
        <f>IFERROR(__xludf.DUMMYFUNCTION("SPLIT(G720,"","")"),44462.0)</f>
        <v>44462</v>
      </c>
      <c r="I720" s="6">
        <f>IFERROR(__xludf.DUMMYFUNCTION("""COMPUTED_VALUE"""),0.9370486111111112)</f>
        <v>0.9370486111</v>
      </c>
    </row>
    <row r="721">
      <c r="A721" s="2">
        <v>4.24</v>
      </c>
      <c r="B721" s="2">
        <v>229.3</v>
      </c>
      <c r="C721" s="2">
        <v>605.0</v>
      </c>
      <c r="D721" s="2">
        <v>6.21</v>
      </c>
      <c r="E721" s="2">
        <v>0.62</v>
      </c>
      <c r="F721" s="2">
        <v>50.0</v>
      </c>
      <c r="G721" s="3">
        <v>44462.93715657407</v>
      </c>
      <c r="H721" s="5">
        <f>IFERROR(__xludf.DUMMYFUNCTION("SPLIT(G721,"","")"),44462.0)</f>
        <v>44462</v>
      </c>
      <c r="I721" s="6">
        <f>IFERROR(__xludf.DUMMYFUNCTION("""COMPUTED_VALUE"""),0.9371527777777777)</f>
        <v>0.9371527778</v>
      </c>
    </row>
    <row r="722">
      <c r="A722" s="2">
        <v>4.24</v>
      </c>
      <c r="B722" s="2">
        <v>229.4</v>
      </c>
      <c r="C722" s="2">
        <v>605.2</v>
      </c>
      <c r="D722" s="2">
        <v>6.21</v>
      </c>
      <c r="E722" s="2">
        <v>0.62</v>
      </c>
      <c r="F722" s="2">
        <v>50.0</v>
      </c>
      <c r="G722" s="3">
        <v>44462.9372590625</v>
      </c>
      <c r="H722" s="5">
        <f>IFERROR(__xludf.DUMMYFUNCTION("SPLIT(G722,"","")"),44462.0)</f>
        <v>44462</v>
      </c>
      <c r="I722" s="6">
        <f>IFERROR(__xludf.DUMMYFUNCTION("""COMPUTED_VALUE"""),0.9372569444444444)</f>
        <v>0.9372569444</v>
      </c>
    </row>
    <row r="723">
      <c r="A723" s="2">
        <v>4.25</v>
      </c>
      <c r="B723" s="2">
        <v>229.0</v>
      </c>
      <c r="C723" s="2">
        <v>605.7</v>
      </c>
      <c r="D723" s="2">
        <v>6.22</v>
      </c>
      <c r="E723" s="2">
        <v>0.62</v>
      </c>
      <c r="F723" s="2">
        <v>49.9</v>
      </c>
      <c r="G723" s="3">
        <v>44462.937569560185</v>
      </c>
      <c r="H723" s="5">
        <f>IFERROR(__xludf.DUMMYFUNCTION("SPLIT(G723,"","")"),44462.0)</f>
        <v>44462</v>
      </c>
      <c r="I723" s="6">
        <f>IFERROR(__xludf.DUMMYFUNCTION("""COMPUTED_VALUE"""),0.9375694444444445)</f>
        <v>0.9375694444</v>
      </c>
    </row>
    <row r="724">
      <c r="A724" s="2">
        <v>4.25</v>
      </c>
      <c r="B724" s="2">
        <v>229.0</v>
      </c>
      <c r="C724" s="2">
        <v>605.7</v>
      </c>
      <c r="D724" s="2">
        <v>6.22</v>
      </c>
      <c r="E724" s="2">
        <v>0.62</v>
      </c>
      <c r="F724" s="2">
        <v>50.0</v>
      </c>
      <c r="G724" s="3">
        <v>44462.93767540509</v>
      </c>
      <c r="H724" s="5">
        <f>IFERROR(__xludf.DUMMYFUNCTION("SPLIT(G724,"","")"),44462.0)</f>
        <v>44462</v>
      </c>
      <c r="I724" s="6">
        <f>IFERROR(__xludf.DUMMYFUNCTION("""COMPUTED_VALUE"""),0.9376736111111111)</f>
        <v>0.9376736111</v>
      </c>
    </row>
    <row r="725">
      <c r="A725" s="2">
        <v>4.25</v>
      </c>
      <c r="B725" s="2">
        <v>229.1</v>
      </c>
      <c r="C725" s="2">
        <v>605.9</v>
      </c>
      <c r="D725" s="2">
        <v>6.22</v>
      </c>
      <c r="E725" s="2">
        <v>0.62</v>
      </c>
      <c r="F725" s="2">
        <v>49.9</v>
      </c>
      <c r="G725" s="3">
        <v>44462.937784236114</v>
      </c>
      <c r="H725" s="5">
        <f>IFERROR(__xludf.DUMMYFUNCTION("SPLIT(G725,"","")"),44462.0)</f>
        <v>44462</v>
      </c>
      <c r="I725" s="6">
        <f>IFERROR(__xludf.DUMMYFUNCTION("""COMPUTED_VALUE"""),0.9377893518518519)</f>
        <v>0.9377893519</v>
      </c>
    </row>
    <row r="726">
      <c r="A726" s="2">
        <v>4.24</v>
      </c>
      <c r="B726" s="2">
        <v>229.2</v>
      </c>
      <c r="C726" s="2">
        <v>606.1</v>
      </c>
      <c r="D726" s="2">
        <v>6.22</v>
      </c>
      <c r="E726" s="2">
        <v>0.62</v>
      </c>
      <c r="F726" s="2">
        <v>49.9</v>
      </c>
      <c r="G726" s="3">
        <v>44462.93789383102</v>
      </c>
      <c r="H726" s="5">
        <f>IFERROR(__xludf.DUMMYFUNCTION("SPLIT(G726,"","")"),44462.0)</f>
        <v>44462</v>
      </c>
      <c r="I726" s="6">
        <f>IFERROR(__xludf.DUMMYFUNCTION("""COMPUTED_VALUE"""),0.9378935185185185)</f>
        <v>0.9378935185</v>
      </c>
    </row>
    <row r="727">
      <c r="A727" s="2">
        <v>4.24</v>
      </c>
      <c r="B727" s="2">
        <v>229.2</v>
      </c>
      <c r="C727" s="2">
        <v>606.0</v>
      </c>
      <c r="D727" s="2">
        <v>6.22</v>
      </c>
      <c r="E727" s="2">
        <v>0.62</v>
      </c>
      <c r="F727" s="2">
        <v>50.0</v>
      </c>
      <c r="G727" s="3">
        <v>44462.93799751157</v>
      </c>
      <c r="H727" s="5">
        <f>IFERROR(__xludf.DUMMYFUNCTION("SPLIT(G727,"","")"),44462.0)</f>
        <v>44462</v>
      </c>
      <c r="I727" s="6">
        <f>IFERROR(__xludf.DUMMYFUNCTION("""COMPUTED_VALUE"""),0.9379976851851852)</f>
        <v>0.9379976852</v>
      </c>
    </row>
    <row r="728">
      <c r="A728" s="2">
        <v>4.25</v>
      </c>
      <c r="B728" s="2">
        <v>229.2</v>
      </c>
      <c r="C728" s="2">
        <v>606.4</v>
      </c>
      <c r="D728" s="2">
        <v>6.22</v>
      </c>
      <c r="E728" s="2">
        <v>0.62</v>
      </c>
      <c r="F728" s="2">
        <v>50.0</v>
      </c>
      <c r="G728" s="3">
        <v>44462.93809841435</v>
      </c>
      <c r="H728" s="5">
        <f>IFERROR(__xludf.DUMMYFUNCTION("SPLIT(G728,"","")"),44462.0)</f>
        <v>44462</v>
      </c>
      <c r="I728" s="6">
        <f>IFERROR(__xludf.DUMMYFUNCTION("""COMPUTED_VALUE"""),0.9381018518518518)</f>
        <v>0.9381018519</v>
      </c>
    </row>
    <row r="729">
      <c r="A729" s="2">
        <v>4.25</v>
      </c>
      <c r="B729" s="2">
        <v>229.2</v>
      </c>
      <c r="C729" s="2">
        <v>606.6</v>
      </c>
      <c r="D729" s="2">
        <v>6.23</v>
      </c>
      <c r="E729" s="2">
        <v>0.62</v>
      </c>
      <c r="F729" s="2">
        <v>50.0</v>
      </c>
      <c r="G729" s="3">
        <v>44462.938199826385</v>
      </c>
      <c r="H729" s="5">
        <f>IFERROR(__xludf.DUMMYFUNCTION("SPLIT(G729,"","")"),44462.0)</f>
        <v>44462</v>
      </c>
      <c r="I729" s="6">
        <f>IFERROR(__xludf.DUMMYFUNCTION("""COMPUTED_VALUE"""),0.9381944444444444)</f>
        <v>0.9381944444</v>
      </c>
    </row>
    <row r="730">
      <c r="A730" s="2">
        <v>4.25</v>
      </c>
      <c r="B730" s="2">
        <v>229.2</v>
      </c>
      <c r="C730" s="2">
        <v>606.8</v>
      </c>
      <c r="D730" s="2">
        <v>6.23</v>
      </c>
      <c r="E730" s="2">
        <v>0.62</v>
      </c>
      <c r="F730" s="2">
        <v>50.0</v>
      </c>
      <c r="G730" s="3">
        <v>44462.93830173611</v>
      </c>
      <c r="H730" s="5">
        <f>IFERROR(__xludf.DUMMYFUNCTION("SPLIT(G730,"","")"),44462.0)</f>
        <v>44462</v>
      </c>
      <c r="I730" s="6">
        <f>IFERROR(__xludf.DUMMYFUNCTION("""COMPUTED_VALUE"""),0.9382986111111111)</f>
        <v>0.9382986111</v>
      </c>
    </row>
    <row r="731">
      <c r="A731" s="2">
        <v>4.24</v>
      </c>
      <c r="B731" s="2">
        <v>229.1</v>
      </c>
      <c r="C731" s="2">
        <v>606.9</v>
      </c>
      <c r="D731" s="2">
        <v>6.23</v>
      </c>
      <c r="E731" s="2">
        <v>0.62</v>
      </c>
      <c r="F731" s="2">
        <v>50.0</v>
      </c>
      <c r="G731" s="3">
        <v>44462.93840542824</v>
      </c>
      <c r="H731" s="5">
        <f>IFERROR(__xludf.DUMMYFUNCTION("SPLIT(G731,"","")"),44462.0)</f>
        <v>44462</v>
      </c>
      <c r="I731" s="6">
        <f>IFERROR(__xludf.DUMMYFUNCTION("""COMPUTED_VALUE"""),0.9384027777777778)</f>
        <v>0.9384027778</v>
      </c>
    </row>
    <row r="732">
      <c r="A732" s="2">
        <v>4.24</v>
      </c>
      <c r="B732" s="2">
        <v>229.1</v>
      </c>
      <c r="C732" s="2">
        <v>607.1</v>
      </c>
      <c r="D732" s="2">
        <v>6.23</v>
      </c>
      <c r="E732" s="2">
        <v>0.62</v>
      </c>
      <c r="F732" s="2">
        <v>50.0</v>
      </c>
      <c r="G732" s="3">
        <v>44462.93850778935</v>
      </c>
      <c r="H732" s="5">
        <f>IFERROR(__xludf.DUMMYFUNCTION("SPLIT(G732,"","")"),44462.0)</f>
        <v>44462</v>
      </c>
      <c r="I732" s="6">
        <f>IFERROR(__xludf.DUMMYFUNCTION("""COMPUTED_VALUE"""),0.9385069444444445)</f>
        <v>0.9385069444</v>
      </c>
    </row>
    <row r="733">
      <c r="A733" s="2">
        <v>4.24</v>
      </c>
      <c r="B733" s="2">
        <v>229.3</v>
      </c>
      <c r="C733" s="2">
        <v>607.3</v>
      </c>
      <c r="D733" s="2">
        <v>6.23</v>
      </c>
      <c r="E733" s="2">
        <v>0.62</v>
      </c>
      <c r="F733" s="2">
        <v>50.0</v>
      </c>
      <c r="G733" s="3">
        <v>44462.938612858794</v>
      </c>
      <c r="H733" s="5">
        <f>IFERROR(__xludf.DUMMYFUNCTION("SPLIT(G733,"","")"),44462.0)</f>
        <v>44462</v>
      </c>
      <c r="I733" s="6">
        <f>IFERROR(__xludf.DUMMYFUNCTION("""COMPUTED_VALUE"""),0.9386111111111111)</f>
        <v>0.9386111111</v>
      </c>
    </row>
    <row r="734">
      <c r="A734" s="2">
        <v>4.24</v>
      </c>
      <c r="B734" s="2">
        <v>229.3</v>
      </c>
      <c r="C734" s="2">
        <v>607.4</v>
      </c>
      <c r="D734" s="2">
        <v>6.23</v>
      </c>
      <c r="E734" s="2">
        <v>0.62</v>
      </c>
      <c r="F734" s="2">
        <v>50.0</v>
      </c>
      <c r="G734" s="3">
        <v>44462.9387259375</v>
      </c>
      <c r="H734" s="5">
        <f>IFERROR(__xludf.DUMMYFUNCTION("SPLIT(G734,"","")"),44462.0)</f>
        <v>44462</v>
      </c>
      <c r="I734" s="6">
        <f>IFERROR(__xludf.DUMMYFUNCTION("""COMPUTED_VALUE"""),0.9387268518518519)</f>
        <v>0.9387268519</v>
      </c>
    </row>
    <row r="735">
      <c r="A735" s="2">
        <v>4.24</v>
      </c>
      <c r="B735" s="2">
        <v>229.3</v>
      </c>
      <c r="C735" s="2">
        <v>607.6</v>
      </c>
      <c r="D735" s="2">
        <v>6.24</v>
      </c>
      <c r="E735" s="2">
        <v>0.62</v>
      </c>
      <c r="F735" s="2">
        <v>50.0</v>
      </c>
      <c r="G735" s="3">
        <v>44462.938829618055</v>
      </c>
      <c r="H735" s="5">
        <f>IFERROR(__xludf.DUMMYFUNCTION("SPLIT(G735,"","")"),44462.0)</f>
        <v>44462</v>
      </c>
      <c r="I735" s="6">
        <f>IFERROR(__xludf.DUMMYFUNCTION("""COMPUTED_VALUE"""),0.9388310185185185)</f>
        <v>0.9388310185</v>
      </c>
    </row>
    <row r="736">
      <c r="A736" s="2">
        <v>4.24</v>
      </c>
      <c r="B736" s="2">
        <v>229.2</v>
      </c>
      <c r="C736" s="2">
        <v>607.8</v>
      </c>
      <c r="D736" s="2">
        <v>6.24</v>
      </c>
      <c r="E736" s="2">
        <v>0.62</v>
      </c>
      <c r="F736" s="2">
        <v>50.0</v>
      </c>
      <c r="G736" s="3">
        <v>44462.93893400463</v>
      </c>
      <c r="H736" s="5">
        <f>IFERROR(__xludf.DUMMYFUNCTION("SPLIT(G736,"","")"),44462.0)</f>
        <v>44462</v>
      </c>
      <c r="I736" s="6">
        <f>IFERROR(__xludf.DUMMYFUNCTION("""COMPUTED_VALUE"""),0.9389351851851852)</f>
        <v>0.9389351852</v>
      </c>
    </row>
    <row r="737">
      <c r="A737" s="2">
        <v>4.28</v>
      </c>
      <c r="B737" s="2">
        <v>228.5</v>
      </c>
      <c r="C737" s="2">
        <v>607.9</v>
      </c>
      <c r="D737" s="2">
        <v>6.24</v>
      </c>
      <c r="E737" s="2">
        <v>0.62</v>
      </c>
      <c r="F737" s="2">
        <v>50.0</v>
      </c>
      <c r="G737" s="3">
        <v>44462.939039282406</v>
      </c>
      <c r="H737" s="5">
        <f>IFERROR(__xludf.DUMMYFUNCTION("SPLIT(G737,"","")"),44462.0)</f>
        <v>44462</v>
      </c>
      <c r="I737" s="6">
        <f>IFERROR(__xludf.DUMMYFUNCTION("""COMPUTED_VALUE"""),0.9390393518518518)</f>
        <v>0.9390393519</v>
      </c>
    </row>
    <row r="738">
      <c r="A738" s="2">
        <v>4.3</v>
      </c>
      <c r="B738" s="2">
        <v>228.3</v>
      </c>
      <c r="C738" s="2">
        <v>608.0</v>
      </c>
      <c r="D738" s="2">
        <v>6.24</v>
      </c>
      <c r="E738" s="2">
        <v>0.62</v>
      </c>
      <c r="F738" s="2">
        <v>50.0</v>
      </c>
      <c r="G738" s="3">
        <v>44462.93914614583</v>
      </c>
      <c r="H738" s="5">
        <f>IFERROR(__xludf.DUMMYFUNCTION("SPLIT(G738,"","")"),44462.0)</f>
        <v>44462</v>
      </c>
      <c r="I738" s="6">
        <f>IFERROR(__xludf.DUMMYFUNCTION("""COMPUTED_VALUE"""),0.9391435185185185)</f>
        <v>0.9391435185</v>
      </c>
    </row>
    <row r="739">
      <c r="A739" s="2">
        <v>4.3</v>
      </c>
      <c r="B739" s="2">
        <v>228.3</v>
      </c>
      <c r="C739" s="2">
        <v>608.2</v>
      </c>
      <c r="D739" s="2">
        <v>6.24</v>
      </c>
      <c r="E739" s="2">
        <v>0.62</v>
      </c>
      <c r="F739" s="2">
        <v>50.0</v>
      </c>
      <c r="G739" s="3">
        <v>44462.93925079861</v>
      </c>
      <c r="H739" s="5">
        <f>IFERROR(__xludf.DUMMYFUNCTION("SPLIT(G739,"","")"),44462.0)</f>
        <v>44462</v>
      </c>
      <c r="I739" s="6">
        <f>IFERROR(__xludf.DUMMYFUNCTION("""COMPUTED_VALUE"""),0.9392476851851852)</f>
        <v>0.9392476852</v>
      </c>
    </row>
    <row r="740">
      <c r="A740" s="2">
        <v>4.3</v>
      </c>
      <c r="B740" s="2">
        <v>228.3</v>
      </c>
      <c r="C740" s="2">
        <v>608.4</v>
      </c>
      <c r="D740" s="2">
        <v>6.24</v>
      </c>
      <c r="E740" s="2">
        <v>0.62</v>
      </c>
      <c r="F740" s="2">
        <v>50.0</v>
      </c>
      <c r="G740" s="3">
        <v>44462.93935739584</v>
      </c>
      <c r="H740" s="5">
        <f>IFERROR(__xludf.DUMMYFUNCTION("SPLIT(G740,"","")"),44462.0)</f>
        <v>44462</v>
      </c>
      <c r="I740" s="6">
        <f>IFERROR(__xludf.DUMMYFUNCTION("""COMPUTED_VALUE"""),0.9393518518518519)</f>
        <v>0.9393518519</v>
      </c>
    </row>
    <row r="741">
      <c r="A741" s="2">
        <v>4.29</v>
      </c>
      <c r="B741" s="2">
        <v>228.3</v>
      </c>
      <c r="C741" s="2">
        <v>608.6</v>
      </c>
      <c r="D741" s="2">
        <v>6.24</v>
      </c>
      <c r="E741" s="2">
        <v>0.62</v>
      </c>
      <c r="F741" s="2">
        <v>50.0</v>
      </c>
      <c r="G741" s="3">
        <v>44462.93946047453</v>
      </c>
      <c r="H741" s="5">
        <f>IFERROR(__xludf.DUMMYFUNCTION("SPLIT(G741,"","")"),44462.0)</f>
        <v>44462</v>
      </c>
      <c r="I741" s="6">
        <f>IFERROR(__xludf.DUMMYFUNCTION("""COMPUTED_VALUE"""),0.9394560185185186)</f>
        <v>0.9394560185</v>
      </c>
    </row>
    <row r="742">
      <c r="A742" s="2">
        <v>4.06</v>
      </c>
      <c r="B742" s="2">
        <v>228.6</v>
      </c>
      <c r="C742" s="2">
        <v>608.2</v>
      </c>
      <c r="D742" s="2">
        <v>6.25</v>
      </c>
      <c r="E742" s="2">
        <v>0.65</v>
      </c>
      <c r="F742" s="2">
        <v>50.0</v>
      </c>
      <c r="G742" s="3">
        <v>44462.939567800924</v>
      </c>
      <c r="H742" s="5">
        <f>IFERROR(__xludf.DUMMYFUNCTION("SPLIT(G742,"","")"),44462.0)</f>
        <v>44462</v>
      </c>
      <c r="I742" s="6">
        <f>IFERROR(__xludf.DUMMYFUNCTION("""COMPUTED_VALUE"""),0.9395717592592593)</f>
        <v>0.9395717593</v>
      </c>
    </row>
    <row r="743">
      <c r="A743" s="2">
        <v>4.06</v>
      </c>
      <c r="B743" s="2">
        <v>228.7</v>
      </c>
      <c r="C743" s="2">
        <v>608.5</v>
      </c>
      <c r="D743" s="2">
        <v>6.25</v>
      </c>
      <c r="E743" s="2">
        <v>0.66</v>
      </c>
      <c r="F743" s="2">
        <v>50.0</v>
      </c>
      <c r="G743" s="3">
        <v>44462.939671898144</v>
      </c>
      <c r="H743" s="5">
        <f>IFERROR(__xludf.DUMMYFUNCTION("SPLIT(G743,"","")"),44462.0)</f>
        <v>44462</v>
      </c>
      <c r="I743" s="6">
        <f>IFERROR(__xludf.DUMMYFUNCTION("""COMPUTED_VALUE"""),0.939675925925926)</f>
        <v>0.9396759259</v>
      </c>
    </row>
    <row r="744">
      <c r="A744" s="2">
        <v>4.28</v>
      </c>
      <c r="B744" s="2">
        <v>228.8</v>
      </c>
      <c r="C744" s="2">
        <v>608.1</v>
      </c>
      <c r="D744" s="2">
        <v>6.25</v>
      </c>
      <c r="E744" s="2">
        <v>0.62</v>
      </c>
      <c r="F744" s="2">
        <v>50.0</v>
      </c>
      <c r="G744" s="3">
        <v>44462.939778217595</v>
      </c>
      <c r="H744" s="5">
        <f>IFERROR(__xludf.DUMMYFUNCTION("SPLIT(G744,"","")"),44462.0)</f>
        <v>44462</v>
      </c>
      <c r="I744" s="6">
        <f>IFERROR(__xludf.DUMMYFUNCTION("""COMPUTED_VALUE"""),0.9397800925925925)</f>
        <v>0.9397800926</v>
      </c>
    </row>
    <row r="745">
      <c r="A745" s="2">
        <v>4.28</v>
      </c>
      <c r="B745" s="2">
        <v>228.8</v>
      </c>
      <c r="C745" s="2">
        <v>608.3</v>
      </c>
      <c r="D745" s="2">
        <v>6.25</v>
      </c>
      <c r="E745" s="2">
        <v>0.62</v>
      </c>
      <c r="F745" s="2">
        <v>50.0</v>
      </c>
      <c r="G745" s="3">
        <v>44462.93987909722</v>
      </c>
      <c r="H745" s="5">
        <f>IFERROR(__xludf.DUMMYFUNCTION("SPLIT(G745,"","")"),44462.0)</f>
        <v>44462</v>
      </c>
      <c r="I745" s="6">
        <f>IFERROR(__xludf.DUMMYFUNCTION("""COMPUTED_VALUE"""),0.9398842592592592)</f>
        <v>0.9398842593</v>
      </c>
    </row>
    <row r="746">
      <c r="A746" s="2">
        <v>4.28</v>
      </c>
      <c r="B746" s="2">
        <v>228.6</v>
      </c>
      <c r="C746" s="2">
        <v>608.4</v>
      </c>
      <c r="D746" s="2">
        <v>6.25</v>
      </c>
      <c r="E746" s="2">
        <v>0.62</v>
      </c>
      <c r="F746" s="2">
        <v>49.9</v>
      </c>
      <c r="G746" s="3">
        <v>44462.93998530092</v>
      </c>
      <c r="H746" s="5">
        <f>IFERROR(__xludf.DUMMYFUNCTION("SPLIT(G746,"","")"),44462.0)</f>
        <v>44462</v>
      </c>
      <c r="I746" s="6">
        <f>IFERROR(__xludf.DUMMYFUNCTION("""COMPUTED_VALUE"""),0.9399884259259259)</f>
        <v>0.9399884259</v>
      </c>
    </row>
    <row r="747">
      <c r="A747" s="2">
        <v>4.28</v>
      </c>
      <c r="B747" s="2">
        <v>228.5</v>
      </c>
      <c r="C747" s="2">
        <v>608.5</v>
      </c>
      <c r="D747" s="2">
        <v>6.26</v>
      </c>
      <c r="E747" s="2">
        <v>0.62</v>
      </c>
      <c r="F747" s="2">
        <v>49.9</v>
      </c>
      <c r="G747" s="3">
        <v>44462.94009207176</v>
      </c>
      <c r="H747" s="5">
        <f>IFERROR(__xludf.DUMMYFUNCTION("SPLIT(G747,"","")"),44462.0)</f>
        <v>44462</v>
      </c>
      <c r="I747" s="6">
        <f>IFERROR(__xludf.DUMMYFUNCTION("""COMPUTED_VALUE"""),0.9400925925925926)</f>
        <v>0.9400925926</v>
      </c>
    </row>
    <row r="748">
      <c r="A748" s="2">
        <v>4.28</v>
      </c>
      <c r="B748" s="2">
        <v>228.6</v>
      </c>
      <c r="C748" s="2">
        <v>608.7</v>
      </c>
      <c r="D748" s="2">
        <v>6.26</v>
      </c>
      <c r="E748" s="2">
        <v>0.62</v>
      </c>
      <c r="F748" s="2">
        <v>49.9</v>
      </c>
      <c r="G748" s="3">
        <v>44462.940202314814</v>
      </c>
      <c r="H748" s="5">
        <f>IFERROR(__xludf.DUMMYFUNCTION("SPLIT(G748,"","")"),44462.0)</f>
        <v>44462</v>
      </c>
      <c r="I748" s="6">
        <f>IFERROR(__xludf.DUMMYFUNCTION("""COMPUTED_VALUE"""),0.9401967592592593)</f>
        <v>0.9401967593</v>
      </c>
    </row>
    <row r="749">
      <c r="A749" s="2">
        <v>4.28</v>
      </c>
      <c r="B749" s="2">
        <v>228.5</v>
      </c>
      <c r="C749" s="2">
        <v>608.9</v>
      </c>
      <c r="D749" s="2">
        <v>6.26</v>
      </c>
      <c r="E749" s="2">
        <v>0.62</v>
      </c>
      <c r="F749" s="2">
        <v>49.9</v>
      </c>
      <c r="G749" s="3">
        <v>44462.94030645833</v>
      </c>
      <c r="H749" s="5">
        <f>IFERROR(__xludf.DUMMYFUNCTION("SPLIT(G749,"","")"),44462.0)</f>
        <v>44462</v>
      </c>
      <c r="I749" s="6">
        <f>IFERROR(__xludf.DUMMYFUNCTION("""COMPUTED_VALUE"""),0.940300925925926)</f>
        <v>0.9403009259</v>
      </c>
    </row>
    <row r="750">
      <c r="A750" s="2">
        <v>4.27</v>
      </c>
      <c r="B750" s="2">
        <v>228.5</v>
      </c>
      <c r="C750" s="2">
        <v>609.0</v>
      </c>
      <c r="D750" s="2">
        <v>6.26</v>
      </c>
      <c r="E750" s="2">
        <v>0.62</v>
      </c>
      <c r="F750" s="2">
        <v>50.0</v>
      </c>
      <c r="G750" s="3">
        <v>44462.94041040509</v>
      </c>
      <c r="H750" s="5">
        <f>IFERROR(__xludf.DUMMYFUNCTION("SPLIT(G750,"","")"),44462.0)</f>
        <v>44462</v>
      </c>
      <c r="I750" s="6">
        <f>IFERROR(__xludf.DUMMYFUNCTION("""COMPUTED_VALUE"""),0.9404050925925926)</f>
        <v>0.9404050926</v>
      </c>
    </row>
    <row r="751">
      <c r="A751" s="2">
        <v>4.28</v>
      </c>
      <c r="B751" s="2">
        <v>228.7</v>
      </c>
      <c r="C751" s="2">
        <v>609.1</v>
      </c>
      <c r="D751" s="2">
        <v>6.26</v>
      </c>
      <c r="E751" s="2">
        <v>0.62</v>
      </c>
      <c r="F751" s="2">
        <v>50.0</v>
      </c>
      <c r="G751" s="3">
        <v>44462.94051626157</v>
      </c>
      <c r="H751" s="5">
        <f>IFERROR(__xludf.DUMMYFUNCTION("SPLIT(G751,"","")"),44462.0)</f>
        <v>44462</v>
      </c>
      <c r="I751" s="6">
        <f>IFERROR(__xludf.DUMMYFUNCTION("""COMPUTED_VALUE"""),0.9405208333333334)</f>
        <v>0.9405208333</v>
      </c>
    </row>
    <row r="752">
      <c r="A752" s="2">
        <v>4.28</v>
      </c>
      <c r="B752" s="2">
        <v>228.7</v>
      </c>
      <c r="C752" s="2">
        <v>609.3</v>
      </c>
      <c r="D752" s="2">
        <v>6.26</v>
      </c>
      <c r="E752" s="2">
        <v>0.62</v>
      </c>
      <c r="F752" s="2">
        <v>50.0</v>
      </c>
      <c r="G752" s="3">
        <v>44462.94062162037</v>
      </c>
      <c r="H752" s="5">
        <f>IFERROR(__xludf.DUMMYFUNCTION("SPLIT(G752,"","")"),44462.0)</f>
        <v>44462</v>
      </c>
      <c r="I752" s="6">
        <f>IFERROR(__xludf.DUMMYFUNCTION("""COMPUTED_VALUE"""),0.940625)</f>
        <v>0.940625</v>
      </c>
    </row>
    <row r="753">
      <c r="A753" s="2">
        <v>4.29</v>
      </c>
      <c r="B753" s="2">
        <v>228.8</v>
      </c>
      <c r="C753" s="2">
        <v>609.5</v>
      </c>
      <c r="D753" s="2">
        <v>6.26</v>
      </c>
      <c r="E753" s="2">
        <v>0.62</v>
      </c>
      <c r="F753" s="2">
        <v>50.0</v>
      </c>
      <c r="G753" s="3">
        <v>44462.94072914352</v>
      </c>
      <c r="H753" s="5">
        <f>IFERROR(__xludf.DUMMYFUNCTION("SPLIT(G753,"","")"),44462.0)</f>
        <v>44462</v>
      </c>
      <c r="I753" s="6">
        <f>IFERROR(__xludf.DUMMYFUNCTION("""COMPUTED_VALUE"""),0.9407291666666666)</f>
        <v>0.9407291667</v>
      </c>
    </row>
    <row r="754">
      <c r="A754" s="2">
        <v>4.28</v>
      </c>
      <c r="B754" s="2">
        <v>228.8</v>
      </c>
      <c r="C754" s="2">
        <v>609.7</v>
      </c>
      <c r="D754" s="2">
        <v>6.26</v>
      </c>
      <c r="E754" s="2">
        <v>0.62</v>
      </c>
      <c r="F754" s="2">
        <v>50.0</v>
      </c>
      <c r="G754" s="3">
        <v>44462.940833298606</v>
      </c>
      <c r="H754" s="5">
        <f>IFERROR(__xludf.DUMMYFUNCTION("SPLIT(G754,"","")"),44462.0)</f>
        <v>44462</v>
      </c>
      <c r="I754" s="6">
        <f>IFERROR(__xludf.DUMMYFUNCTION("""COMPUTED_VALUE"""),0.9408333333333333)</f>
        <v>0.9408333333</v>
      </c>
    </row>
    <row r="755">
      <c r="A755" s="2">
        <v>4.3</v>
      </c>
      <c r="B755" s="2">
        <v>228.8</v>
      </c>
      <c r="C755" s="2">
        <v>609.8</v>
      </c>
      <c r="D755" s="2">
        <v>6.27</v>
      </c>
      <c r="E755" s="2">
        <v>0.62</v>
      </c>
      <c r="F755" s="2">
        <v>50.0</v>
      </c>
      <c r="G755" s="3">
        <v>44462.940936597224</v>
      </c>
      <c r="H755" s="5">
        <f>IFERROR(__xludf.DUMMYFUNCTION("SPLIT(G755,"","")"),44462.0)</f>
        <v>44462</v>
      </c>
      <c r="I755" s="6">
        <f>IFERROR(__xludf.DUMMYFUNCTION("""COMPUTED_VALUE"""),0.9409375)</f>
        <v>0.9409375</v>
      </c>
    </row>
    <row r="756">
      <c r="A756" s="2">
        <v>4.3</v>
      </c>
      <c r="B756" s="2">
        <v>228.7</v>
      </c>
      <c r="C756" s="2">
        <v>610.0</v>
      </c>
      <c r="D756" s="2">
        <v>6.27</v>
      </c>
      <c r="E756" s="2">
        <v>0.62</v>
      </c>
      <c r="F756" s="2">
        <v>50.0</v>
      </c>
      <c r="G756" s="3">
        <v>44462.94103800926</v>
      </c>
      <c r="H756" s="5">
        <f>IFERROR(__xludf.DUMMYFUNCTION("SPLIT(G756,"","")"),44462.0)</f>
        <v>44462</v>
      </c>
      <c r="I756" s="6">
        <f>IFERROR(__xludf.DUMMYFUNCTION("""COMPUTED_VALUE"""),0.9410416666666667)</f>
        <v>0.9410416667</v>
      </c>
    </row>
    <row r="757">
      <c r="A757" s="2">
        <v>4.31</v>
      </c>
      <c r="B757" s="2">
        <v>228.6</v>
      </c>
      <c r="C757" s="2">
        <v>610.0</v>
      </c>
      <c r="D757" s="2">
        <v>6.27</v>
      </c>
      <c r="E757" s="2">
        <v>0.62</v>
      </c>
      <c r="F757" s="2">
        <v>49.9</v>
      </c>
      <c r="G757" s="3">
        <v>44462.94114087963</v>
      </c>
      <c r="H757" s="5">
        <f>IFERROR(__xludf.DUMMYFUNCTION("SPLIT(G757,"","")"),44462.0)</f>
        <v>44462</v>
      </c>
      <c r="I757" s="6">
        <f>IFERROR(__xludf.DUMMYFUNCTION("""COMPUTED_VALUE"""),0.9411458333333333)</f>
        <v>0.9411458333</v>
      </c>
    </row>
    <row r="758">
      <c r="A758" s="2">
        <v>4.35</v>
      </c>
      <c r="B758" s="2">
        <v>228.0</v>
      </c>
      <c r="C758" s="2">
        <v>610.2</v>
      </c>
      <c r="D758" s="2">
        <v>6.27</v>
      </c>
      <c r="E758" s="2">
        <v>0.62</v>
      </c>
      <c r="F758" s="2">
        <v>49.9</v>
      </c>
      <c r="G758" s="3">
        <v>44462.941241238426</v>
      </c>
      <c r="H758" s="5">
        <f>IFERROR(__xludf.DUMMYFUNCTION("SPLIT(G758,"","")"),44462.0)</f>
        <v>44462</v>
      </c>
      <c r="I758" s="6">
        <f>IFERROR(__xludf.DUMMYFUNCTION("""COMPUTED_VALUE"""),0.9412384259259259)</f>
        <v>0.9412384259</v>
      </c>
    </row>
    <row r="759">
      <c r="A759" s="2">
        <v>4.35</v>
      </c>
      <c r="B759" s="2">
        <v>227.8</v>
      </c>
      <c r="C759" s="2">
        <v>610.3</v>
      </c>
      <c r="D759" s="2">
        <v>6.27</v>
      </c>
      <c r="E759" s="2">
        <v>0.62</v>
      </c>
      <c r="F759" s="2">
        <v>49.9</v>
      </c>
      <c r="G759" s="3">
        <v>44462.94134356482</v>
      </c>
      <c r="H759" s="5">
        <f>IFERROR(__xludf.DUMMYFUNCTION("SPLIT(G759,"","")"),44462.0)</f>
        <v>44462</v>
      </c>
      <c r="I759" s="6">
        <f>IFERROR(__xludf.DUMMYFUNCTION("""COMPUTED_VALUE"""),0.9413425925925926)</f>
        <v>0.9413425926</v>
      </c>
    </row>
    <row r="760">
      <c r="A760" s="2">
        <v>4.36</v>
      </c>
      <c r="B760" s="2">
        <v>227.9</v>
      </c>
      <c r="C760" s="2">
        <v>610.5</v>
      </c>
      <c r="D760" s="2">
        <v>6.27</v>
      </c>
      <c r="E760" s="2">
        <v>0.61</v>
      </c>
      <c r="F760" s="2">
        <v>49.9</v>
      </c>
      <c r="G760" s="3">
        <v>44462.94144361111</v>
      </c>
      <c r="H760" s="5">
        <f>IFERROR(__xludf.DUMMYFUNCTION("SPLIT(G760,"","")"),44462.0)</f>
        <v>44462</v>
      </c>
      <c r="I760" s="6">
        <f>IFERROR(__xludf.DUMMYFUNCTION("""COMPUTED_VALUE"""),0.9414467592592592)</f>
        <v>0.9414467593</v>
      </c>
    </row>
    <row r="761">
      <c r="A761" s="2">
        <v>4.36</v>
      </c>
      <c r="B761" s="2">
        <v>227.8</v>
      </c>
      <c r="C761" s="2">
        <v>610.6</v>
      </c>
      <c r="D761" s="2">
        <v>6.28</v>
      </c>
      <c r="E761" s="2">
        <v>0.61</v>
      </c>
      <c r="F761" s="2">
        <v>49.9</v>
      </c>
      <c r="G761" s="3">
        <v>44462.94154640046</v>
      </c>
      <c r="H761" s="5">
        <f>IFERROR(__xludf.DUMMYFUNCTION("SPLIT(G761,"","")"),44462.0)</f>
        <v>44462</v>
      </c>
      <c r="I761" s="6">
        <f>IFERROR(__xludf.DUMMYFUNCTION("""COMPUTED_VALUE"""),0.9415509259259259)</f>
        <v>0.9415509259</v>
      </c>
    </row>
    <row r="762">
      <c r="A762" s="2">
        <v>4.36</v>
      </c>
      <c r="B762" s="2">
        <v>227.8</v>
      </c>
      <c r="C762" s="2">
        <v>610.8</v>
      </c>
      <c r="D762" s="2">
        <v>6.28</v>
      </c>
      <c r="E762" s="2">
        <v>0.61</v>
      </c>
      <c r="F762" s="2">
        <v>49.9</v>
      </c>
      <c r="G762" s="3">
        <v>44462.94165408565</v>
      </c>
      <c r="H762" s="5">
        <f>IFERROR(__xludf.DUMMYFUNCTION("SPLIT(G762,"","")"),44462.0)</f>
        <v>44462</v>
      </c>
      <c r="I762" s="6">
        <f>IFERROR(__xludf.DUMMYFUNCTION("""COMPUTED_VALUE"""),0.9416550925925926)</f>
        <v>0.9416550926</v>
      </c>
    </row>
    <row r="763">
      <c r="A763" s="2">
        <v>4.36</v>
      </c>
      <c r="B763" s="2">
        <v>227.9</v>
      </c>
      <c r="C763" s="2">
        <v>611.0</v>
      </c>
      <c r="D763" s="2">
        <v>6.28</v>
      </c>
      <c r="E763" s="2">
        <v>0.61</v>
      </c>
      <c r="F763" s="2">
        <v>50.0</v>
      </c>
      <c r="G763" s="3">
        <v>44462.94175561343</v>
      </c>
      <c r="H763" s="5">
        <f>IFERROR(__xludf.DUMMYFUNCTION("SPLIT(G763,"","")"),44462.0)</f>
        <v>44462</v>
      </c>
      <c r="I763" s="6">
        <f>IFERROR(__xludf.DUMMYFUNCTION("""COMPUTED_VALUE"""),0.9417592592592593)</f>
        <v>0.9417592593</v>
      </c>
    </row>
    <row r="764">
      <c r="A764" s="2">
        <v>4.36</v>
      </c>
      <c r="B764" s="2">
        <v>227.9</v>
      </c>
      <c r="C764" s="2">
        <v>611.1</v>
      </c>
      <c r="D764" s="2">
        <v>6.28</v>
      </c>
      <c r="E764" s="2">
        <v>0.62</v>
      </c>
      <c r="F764" s="2">
        <v>50.0</v>
      </c>
      <c r="G764" s="3">
        <v>44462.94186160879</v>
      </c>
      <c r="H764" s="5">
        <f>IFERROR(__xludf.DUMMYFUNCTION("SPLIT(G764,"","")"),44462.0)</f>
        <v>44462</v>
      </c>
      <c r="I764" s="6">
        <f>IFERROR(__xludf.DUMMYFUNCTION("""COMPUTED_VALUE"""),0.941863425925926)</f>
        <v>0.9418634259</v>
      </c>
    </row>
    <row r="765">
      <c r="A765" s="2">
        <v>4.36</v>
      </c>
      <c r="B765" s="2">
        <v>227.6</v>
      </c>
      <c r="C765" s="2">
        <v>611.4</v>
      </c>
      <c r="D765" s="2">
        <v>6.28</v>
      </c>
      <c r="E765" s="2">
        <v>0.62</v>
      </c>
      <c r="F765" s="2">
        <v>49.9</v>
      </c>
      <c r="G765" s="3">
        <v>44462.94196813657</v>
      </c>
      <c r="H765" s="5">
        <f>IFERROR(__xludf.DUMMYFUNCTION("SPLIT(G765,"","")"),44462.0)</f>
        <v>44462</v>
      </c>
      <c r="I765" s="6">
        <f>IFERROR(__xludf.DUMMYFUNCTION("""COMPUTED_VALUE"""),0.9419675925925926)</f>
        <v>0.9419675926</v>
      </c>
    </row>
    <row r="766">
      <c r="A766" s="2">
        <v>4.38</v>
      </c>
      <c r="B766" s="2">
        <v>227.0</v>
      </c>
      <c r="C766" s="2">
        <v>611.4</v>
      </c>
      <c r="D766" s="2">
        <v>6.28</v>
      </c>
      <c r="E766" s="2">
        <v>0.62</v>
      </c>
      <c r="F766" s="2">
        <v>50.0</v>
      </c>
      <c r="G766" s="3">
        <v>44462.942066296295</v>
      </c>
      <c r="H766" s="5">
        <f>IFERROR(__xludf.DUMMYFUNCTION("SPLIT(G766,"","")"),44462.0)</f>
        <v>44462</v>
      </c>
      <c r="I766" s="6">
        <f>IFERROR(__xludf.DUMMYFUNCTION("""COMPUTED_VALUE"""),0.9420717592592592)</f>
        <v>0.9420717593</v>
      </c>
    </row>
    <row r="767">
      <c r="A767" s="2">
        <v>4.37</v>
      </c>
      <c r="B767" s="2">
        <v>227.7</v>
      </c>
      <c r="C767" s="2">
        <v>611.5</v>
      </c>
      <c r="D767" s="2">
        <v>6.28</v>
      </c>
      <c r="E767" s="2">
        <v>0.61</v>
      </c>
      <c r="F767" s="2">
        <v>50.0</v>
      </c>
      <c r="G767" s="3">
        <v>44462.942168113426</v>
      </c>
      <c r="H767" s="5">
        <f>IFERROR(__xludf.DUMMYFUNCTION("SPLIT(G767,"","")"),44462.0)</f>
        <v>44462</v>
      </c>
      <c r="I767" s="6">
        <f>IFERROR(__xludf.DUMMYFUNCTION("""COMPUTED_VALUE"""),0.9421643518518519)</f>
        <v>0.9421643519</v>
      </c>
    </row>
    <row r="768">
      <c r="A768" s="2">
        <v>4.37</v>
      </c>
      <c r="B768" s="2">
        <v>227.6</v>
      </c>
      <c r="C768" s="2">
        <v>611.7</v>
      </c>
      <c r="D768" s="2">
        <v>6.29</v>
      </c>
      <c r="E768" s="2">
        <v>0.61</v>
      </c>
      <c r="F768" s="2">
        <v>50.0</v>
      </c>
      <c r="G768" s="3">
        <v>44462.942265983795</v>
      </c>
      <c r="H768" s="5">
        <f>IFERROR(__xludf.DUMMYFUNCTION("SPLIT(G768,"","")"),44462.0)</f>
        <v>44462</v>
      </c>
      <c r="I768" s="6">
        <f>IFERROR(__xludf.DUMMYFUNCTION("""COMPUTED_VALUE"""),0.9422685185185186)</f>
        <v>0.9422685185</v>
      </c>
    </row>
    <row r="769">
      <c r="A769" s="2">
        <v>4.37</v>
      </c>
      <c r="B769" s="2">
        <v>227.6</v>
      </c>
      <c r="C769" s="2">
        <v>611.8</v>
      </c>
      <c r="D769" s="2">
        <v>6.29</v>
      </c>
      <c r="E769" s="2">
        <v>0.61</v>
      </c>
      <c r="F769" s="2">
        <v>50.0</v>
      </c>
      <c r="G769" s="3">
        <v>44462.94236443287</v>
      </c>
      <c r="H769" s="5">
        <f>IFERROR(__xludf.DUMMYFUNCTION("SPLIT(G769,"","")"),44462.0)</f>
        <v>44462</v>
      </c>
      <c r="I769" s="6">
        <f>IFERROR(__xludf.DUMMYFUNCTION("""COMPUTED_VALUE"""),0.9423611111111111)</f>
        <v>0.9423611111</v>
      </c>
    </row>
    <row r="770">
      <c r="A770" s="2">
        <v>4.38</v>
      </c>
      <c r="B770" s="2">
        <v>227.6</v>
      </c>
      <c r="C770" s="2">
        <v>611.9</v>
      </c>
      <c r="D770" s="2">
        <v>6.29</v>
      </c>
      <c r="E770" s="2">
        <v>0.61</v>
      </c>
      <c r="F770" s="2">
        <v>50.0</v>
      </c>
      <c r="G770" s="3">
        <v>44462.942466990746</v>
      </c>
      <c r="H770" s="5">
        <f>IFERROR(__xludf.DUMMYFUNCTION("SPLIT(G770,"","")"),44462.0)</f>
        <v>44462</v>
      </c>
      <c r="I770" s="6">
        <f>IFERROR(__xludf.DUMMYFUNCTION("""COMPUTED_VALUE"""),0.9424652777777778)</f>
        <v>0.9424652778</v>
      </c>
    </row>
    <row r="771">
      <c r="A771" s="2">
        <v>4.37</v>
      </c>
      <c r="B771" s="2">
        <v>227.5</v>
      </c>
      <c r="C771" s="2">
        <v>612.1</v>
      </c>
      <c r="D771" s="2">
        <v>6.29</v>
      </c>
      <c r="E771" s="2">
        <v>0.62</v>
      </c>
      <c r="F771" s="2">
        <v>50.0</v>
      </c>
      <c r="G771" s="3">
        <v>44462.942568715276</v>
      </c>
      <c r="H771" s="5">
        <f>IFERROR(__xludf.DUMMYFUNCTION("SPLIT(G771,"","")"),44462.0)</f>
        <v>44462</v>
      </c>
      <c r="I771" s="6">
        <f>IFERROR(__xludf.DUMMYFUNCTION("""COMPUTED_VALUE"""),0.9425694444444445)</f>
        <v>0.9425694444</v>
      </c>
    </row>
    <row r="772">
      <c r="A772" s="2">
        <v>4.38</v>
      </c>
      <c r="B772" s="2">
        <v>227.6</v>
      </c>
      <c r="C772" s="2">
        <v>612.2</v>
      </c>
      <c r="D772" s="2">
        <v>6.29</v>
      </c>
      <c r="E772" s="2">
        <v>0.61</v>
      </c>
      <c r="F772" s="2">
        <v>49.9</v>
      </c>
      <c r="G772" s="3">
        <v>44462.94266976852</v>
      </c>
      <c r="H772" s="5">
        <f>IFERROR(__xludf.DUMMYFUNCTION("SPLIT(G772,"","")"),44462.0)</f>
        <v>44462</v>
      </c>
      <c r="I772" s="6">
        <f>IFERROR(__xludf.DUMMYFUNCTION("""COMPUTED_VALUE"""),0.9426736111111111)</f>
        <v>0.9426736111</v>
      </c>
    </row>
    <row r="773">
      <c r="A773" s="2">
        <v>4.3</v>
      </c>
      <c r="B773" s="2">
        <v>228.8</v>
      </c>
      <c r="C773" s="2">
        <v>613.2</v>
      </c>
      <c r="D773" s="2">
        <v>6.29</v>
      </c>
      <c r="E773" s="2">
        <v>0.62</v>
      </c>
      <c r="F773" s="2">
        <v>49.9</v>
      </c>
      <c r="G773" s="3">
        <v>44462.94277070602</v>
      </c>
      <c r="H773" s="5">
        <f>IFERROR(__xludf.DUMMYFUNCTION("SPLIT(G773,"","")"),44462.0)</f>
        <v>44462</v>
      </c>
      <c r="I773" s="6">
        <f>IFERROR(__xludf.DUMMYFUNCTION("""COMPUTED_VALUE"""),0.9427662037037037)</f>
        <v>0.9427662037</v>
      </c>
    </row>
    <row r="774">
      <c r="A774" s="2">
        <v>4.3</v>
      </c>
      <c r="B774" s="2">
        <v>228.8</v>
      </c>
      <c r="C774" s="2">
        <v>613.3</v>
      </c>
      <c r="D774" s="2">
        <v>6.3</v>
      </c>
      <c r="E774" s="2">
        <v>0.62</v>
      </c>
      <c r="F774" s="2">
        <v>50.0</v>
      </c>
      <c r="G774" s="3">
        <v>44462.94287678241</v>
      </c>
      <c r="H774" s="5">
        <f>IFERROR(__xludf.DUMMYFUNCTION("SPLIT(G774,"","")"),44462.0)</f>
        <v>44462</v>
      </c>
      <c r="I774" s="6">
        <f>IFERROR(__xludf.DUMMYFUNCTION("""COMPUTED_VALUE"""),0.9428819444444444)</f>
        <v>0.9428819444</v>
      </c>
    </row>
    <row r="775">
      <c r="A775" s="2">
        <v>4.29</v>
      </c>
      <c r="B775" s="2">
        <v>228.9</v>
      </c>
      <c r="C775" s="2">
        <v>613.4</v>
      </c>
      <c r="D775" s="2">
        <v>6.3</v>
      </c>
      <c r="E775" s="2">
        <v>0.62</v>
      </c>
      <c r="F775" s="2">
        <v>50.0</v>
      </c>
      <c r="G775" s="3">
        <v>44462.94297902778</v>
      </c>
      <c r="H775" s="5">
        <f>IFERROR(__xludf.DUMMYFUNCTION("SPLIT(G775,"","")"),44462.0)</f>
        <v>44462</v>
      </c>
      <c r="I775" s="6">
        <f>IFERROR(__xludf.DUMMYFUNCTION("""COMPUTED_VALUE"""),0.942974537037037)</f>
        <v>0.942974537</v>
      </c>
    </row>
    <row r="776">
      <c r="A776" s="2">
        <v>4.29</v>
      </c>
      <c r="B776" s="2">
        <v>228.8</v>
      </c>
      <c r="C776" s="2">
        <v>613.6</v>
      </c>
      <c r="D776" s="2">
        <v>6.3</v>
      </c>
      <c r="E776" s="2">
        <v>0.63</v>
      </c>
      <c r="F776" s="2">
        <v>50.0</v>
      </c>
      <c r="G776" s="3">
        <v>44462.943158078706</v>
      </c>
      <c r="H776" s="5">
        <f>IFERROR(__xludf.DUMMYFUNCTION("SPLIT(G776,"","")"),44462.0)</f>
        <v>44462</v>
      </c>
      <c r="I776" s="6">
        <f>IFERROR(__xludf.DUMMYFUNCTION("""COMPUTED_VALUE"""),0.9431597222222222)</f>
        <v>0.9431597222</v>
      </c>
    </row>
    <row r="777">
      <c r="A777" s="2">
        <v>4.24</v>
      </c>
      <c r="B777" s="2">
        <v>229.7</v>
      </c>
      <c r="C777" s="2">
        <v>614.0</v>
      </c>
      <c r="D777" s="2">
        <v>6.3</v>
      </c>
      <c r="E777" s="2">
        <v>0.63</v>
      </c>
      <c r="F777" s="2">
        <v>50.0</v>
      </c>
      <c r="G777" s="3">
        <v>44462.94326133102</v>
      </c>
      <c r="H777" s="5">
        <f>IFERROR(__xludf.DUMMYFUNCTION("SPLIT(G777,"","")"),44462.0)</f>
        <v>44462</v>
      </c>
      <c r="I777" s="6">
        <f>IFERROR(__xludf.DUMMYFUNCTION("""COMPUTED_VALUE"""),0.9432638888888889)</f>
        <v>0.9432638889</v>
      </c>
    </row>
    <row r="778">
      <c r="A778" s="2">
        <v>4.24</v>
      </c>
      <c r="B778" s="2">
        <v>229.6</v>
      </c>
      <c r="C778" s="2">
        <v>614.3</v>
      </c>
      <c r="D778" s="2">
        <v>6.3</v>
      </c>
      <c r="E778" s="2">
        <v>0.63</v>
      </c>
      <c r="F778" s="2">
        <v>50.0</v>
      </c>
      <c r="G778" s="3">
        <v>44462.9433658912</v>
      </c>
      <c r="H778" s="5">
        <f>IFERROR(__xludf.DUMMYFUNCTION("SPLIT(G778,"","")"),44462.0)</f>
        <v>44462</v>
      </c>
      <c r="I778" s="6">
        <f>IFERROR(__xludf.DUMMYFUNCTION("""COMPUTED_VALUE"""),0.9433680555555556)</f>
        <v>0.9433680556</v>
      </c>
    </row>
    <row r="779">
      <c r="A779" s="2">
        <v>4.24</v>
      </c>
      <c r="B779" s="2">
        <v>230.0</v>
      </c>
      <c r="C779" s="2">
        <v>614.4</v>
      </c>
      <c r="D779" s="2">
        <v>6.3</v>
      </c>
      <c r="E779" s="2">
        <v>0.63</v>
      </c>
      <c r="F779" s="2">
        <v>50.0</v>
      </c>
      <c r="G779" s="3">
        <v>44462.94347216435</v>
      </c>
      <c r="H779" s="5">
        <f>IFERROR(__xludf.DUMMYFUNCTION("SPLIT(G779,"","")"),44462.0)</f>
        <v>44462</v>
      </c>
      <c r="I779" s="6">
        <f>IFERROR(__xludf.DUMMYFUNCTION("""COMPUTED_VALUE"""),0.9434722222222223)</f>
        <v>0.9434722222</v>
      </c>
    </row>
    <row r="780">
      <c r="A780" s="2">
        <v>4.24</v>
      </c>
      <c r="B780" s="2">
        <v>230.1</v>
      </c>
      <c r="C780" s="2">
        <v>614.5</v>
      </c>
      <c r="D780" s="2">
        <v>6.31</v>
      </c>
      <c r="E780" s="2">
        <v>0.63</v>
      </c>
      <c r="F780" s="2">
        <v>50.0</v>
      </c>
      <c r="G780" s="3">
        <v>44462.94357966435</v>
      </c>
      <c r="H780" s="5">
        <f>IFERROR(__xludf.DUMMYFUNCTION("SPLIT(G780,"","")"),44462.0)</f>
        <v>44462</v>
      </c>
      <c r="I780" s="6">
        <f>IFERROR(__xludf.DUMMYFUNCTION("""COMPUTED_VALUE"""),0.9435763888888888)</f>
        <v>0.9435763889</v>
      </c>
    </row>
    <row r="781">
      <c r="A781" s="2">
        <v>4.25</v>
      </c>
      <c r="B781" s="2">
        <v>230.0</v>
      </c>
      <c r="C781" s="2">
        <v>614.6</v>
      </c>
      <c r="D781" s="2">
        <v>6.31</v>
      </c>
      <c r="E781" s="2">
        <v>0.63</v>
      </c>
      <c r="F781" s="2">
        <v>50.0</v>
      </c>
      <c r="G781" s="3">
        <v>44462.94369054398</v>
      </c>
      <c r="H781" s="5">
        <f>IFERROR(__xludf.DUMMYFUNCTION("SPLIT(G781,"","")"),44462.0)</f>
        <v>44462</v>
      </c>
      <c r="I781" s="6">
        <f>IFERROR(__xludf.DUMMYFUNCTION("""COMPUTED_VALUE"""),0.9436921296296297)</f>
        <v>0.9436921296</v>
      </c>
    </row>
    <row r="782">
      <c r="A782" s="2">
        <v>4.24</v>
      </c>
      <c r="B782" s="2">
        <v>229.9</v>
      </c>
      <c r="C782" s="2">
        <v>614.8</v>
      </c>
      <c r="D782" s="2">
        <v>6.31</v>
      </c>
      <c r="E782" s="2">
        <v>0.63</v>
      </c>
      <c r="F782" s="2">
        <v>50.0</v>
      </c>
      <c r="G782" s="3">
        <v>44462.94380248843</v>
      </c>
      <c r="H782" s="5">
        <f>IFERROR(__xludf.DUMMYFUNCTION("SPLIT(G782,"","")"),44462.0)</f>
        <v>44462</v>
      </c>
      <c r="I782" s="6">
        <f>IFERROR(__xludf.DUMMYFUNCTION("""COMPUTED_VALUE"""),0.9438078703703704)</f>
        <v>0.9438078704</v>
      </c>
    </row>
    <row r="783">
      <c r="A783" s="2">
        <v>4.24</v>
      </c>
      <c r="B783" s="2">
        <v>229.9</v>
      </c>
      <c r="C783" s="2">
        <v>614.9</v>
      </c>
      <c r="D783" s="2">
        <v>6.31</v>
      </c>
      <c r="E783" s="2">
        <v>0.63</v>
      </c>
      <c r="F783" s="2">
        <v>49.9</v>
      </c>
      <c r="G783" s="3">
        <v>44462.94390888889</v>
      </c>
      <c r="H783" s="5">
        <f>IFERROR(__xludf.DUMMYFUNCTION("SPLIT(G783,"","")"),44462.0)</f>
        <v>44462</v>
      </c>
      <c r="I783" s="6">
        <f>IFERROR(__xludf.DUMMYFUNCTION("""COMPUTED_VALUE"""),0.9439120370370371)</f>
        <v>0.943912037</v>
      </c>
    </row>
    <row r="784">
      <c r="A784" s="2">
        <v>4.25</v>
      </c>
      <c r="B784" s="2">
        <v>229.7</v>
      </c>
      <c r="C784" s="2">
        <v>615.1</v>
      </c>
      <c r="D784" s="2">
        <v>6.31</v>
      </c>
      <c r="E784" s="2">
        <v>0.63</v>
      </c>
      <c r="F784" s="2">
        <v>49.9</v>
      </c>
      <c r="G784" s="3">
        <v>44462.944010046296</v>
      </c>
      <c r="H784" s="5">
        <f>IFERROR(__xludf.DUMMYFUNCTION("SPLIT(G784,"","")"),44462.0)</f>
        <v>44462</v>
      </c>
      <c r="I784" s="6">
        <f>IFERROR(__xludf.DUMMYFUNCTION("""COMPUTED_VALUE"""),0.9440046296296296)</f>
        <v>0.9440046296</v>
      </c>
    </row>
    <row r="785">
      <c r="A785" s="2">
        <v>4.25</v>
      </c>
      <c r="B785" s="2">
        <v>230.0</v>
      </c>
      <c r="C785" s="2">
        <v>615.2</v>
      </c>
      <c r="D785" s="2">
        <v>6.31</v>
      </c>
      <c r="E785" s="2">
        <v>0.63</v>
      </c>
      <c r="F785" s="2">
        <v>49.9</v>
      </c>
      <c r="G785" s="3">
        <v>44462.9441136574</v>
      </c>
      <c r="H785" s="5">
        <f>IFERROR(__xludf.DUMMYFUNCTION("SPLIT(G785,"","")"),44462.0)</f>
        <v>44462</v>
      </c>
      <c r="I785" s="6">
        <f>IFERROR(__xludf.DUMMYFUNCTION("""COMPUTED_VALUE"""),0.9441087962962963)</f>
        <v>0.9441087963</v>
      </c>
    </row>
    <row r="786">
      <c r="A786" s="2">
        <v>4.25</v>
      </c>
      <c r="B786" s="2">
        <v>229.9</v>
      </c>
      <c r="C786" s="2">
        <v>615.3</v>
      </c>
      <c r="D786" s="2">
        <v>6.32</v>
      </c>
      <c r="E786" s="2">
        <v>0.63</v>
      </c>
      <c r="F786" s="2">
        <v>49.9</v>
      </c>
      <c r="G786" s="3">
        <v>44462.944225706015</v>
      </c>
      <c r="H786" s="5">
        <f>IFERROR(__xludf.DUMMYFUNCTION("SPLIT(G786,"","")"),44462.0)</f>
        <v>44462</v>
      </c>
      <c r="I786" s="6">
        <f>IFERROR(__xludf.DUMMYFUNCTION("""COMPUTED_VALUE"""),0.944224537037037)</f>
        <v>0.944224537</v>
      </c>
    </row>
    <row r="787">
      <c r="A787" s="2">
        <v>4.25</v>
      </c>
      <c r="B787" s="2">
        <v>230.0</v>
      </c>
      <c r="C787" s="2">
        <v>615.6</v>
      </c>
      <c r="D787" s="2">
        <v>6.32</v>
      </c>
      <c r="E787" s="2">
        <v>0.63</v>
      </c>
      <c r="F787" s="2">
        <v>49.9</v>
      </c>
      <c r="G787" s="3">
        <v>44462.94433716435</v>
      </c>
      <c r="H787" s="5">
        <f>IFERROR(__xludf.DUMMYFUNCTION("SPLIT(G787,"","")"),44462.0)</f>
        <v>44462</v>
      </c>
      <c r="I787" s="6">
        <f>IFERROR(__xludf.DUMMYFUNCTION("""COMPUTED_VALUE"""),0.9443402777777777)</f>
        <v>0.9443402778</v>
      </c>
    </row>
    <row r="788">
      <c r="A788" s="2">
        <v>4.25</v>
      </c>
      <c r="B788" s="2">
        <v>230.1</v>
      </c>
      <c r="C788" s="2">
        <v>615.7</v>
      </c>
      <c r="D788" s="2">
        <v>6.32</v>
      </c>
      <c r="E788" s="2">
        <v>0.63</v>
      </c>
      <c r="F788" s="2">
        <v>49.9</v>
      </c>
      <c r="G788" s="3">
        <v>44462.94444233796</v>
      </c>
      <c r="H788" s="5">
        <f>IFERROR(__xludf.DUMMYFUNCTION("SPLIT(G788,"","")"),44462.0)</f>
        <v>44462</v>
      </c>
      <c r="I788" s="6">
        <f>IFERROR(__xludf.DUMMYFUNCTION("""COMPUTED_VALUE"""),0.9444444444444444)</f>
        <v>0.9444444444</v>
      </c>
    </row>
    <row r="789">
      <c r="A789" s="2">
        <v>4.26</v>
      </c>
      <c r="B789" s="2">
        <v>230.1</v>
      </c>
      <c r="C789" s="2">
        <v>615.8</v>
      </c>
      <c r="D789" s="2">
        <v>6.32</v>
      </c>
      <c r="E789" s="2">
        <v>0.63</v>
      </c>
      <c r="F789" s="2">
        <v>49.9</v>
      </c>
      <c r="G789" s="3">
        <v>44462.94454616898</v>
      </c>
      <c r="H789" s="5">
        <f>IFERROR(__xludf.DUMMYFUNCTION("SPLIT(G789,"","")"),44462.0)</f>
        <v>44462</v>
      </c>
      <c r="I789" s="6">
        <f>IFERROR(__xludf.DUMMYFUNCTION("""COMPUTED_VALUE"""),0.9445486111111111)</f>
        <v>0.9445486111</v>
      </c>
    </row>
    <row r="790">
      <c r="A790" s="2">
        <v>4.25</v>
      </c>
      <c r="B790" s="2">
        <v>230.0</v>
      </c>
      <c r="C790" s="2">
        <v>616.2</v>
      </c>
      <c r="D790" s="2">
        <v>6.32</v>
      </c>
      <c r="E790" s="2">
        <v>0.63</v>
      </c>
      <c r="F790" s="2">
        <v>49.9</v>
      </c>
      <c r="G790" s="3">
        <v>44462.944657534725</v>
      </c>
      <c r="H790" s="5">
        <f>IFERROR(__xludf.DUMMYFUNCTION("SPLIT(G790,"","")"),44462.0)</f>
        <v>44462</v>
      </c>
      <c r="I790" s="6">
        <f>IFERROR(__xludf.DUMMYFUNCTION("""COMPUTED_VALUE"""),0.9446527777777778)</f>
        <v>0.9446527778</v>
      </c>
    </row>
    <row r="791">
      <c r="A791" s="2">
        <v>4.27</v>
      </c>
      <c r="B791" s="2">
        <v>229.7</v>
      </c>
      <c r="C791" s="2">
        <v>616.4</v>
      </c>
      <c r="D791" s="2">
        <v>6.32</v>
      </c>
      <c r="E791" s="2">
        <v>0.63</v>
      </c>
      <c r="F791" s="2">
        <v>49.9</v>
      </c>
      <c r="G791" s="3">
        <v>44462.94476733796</v>
      </c>
      <c r="H791" s="5">
        <f>IFERROR(__xludf.DUMMYFUNCTION("SPLIT(G791,"","")"),44462.0)</f>
        <v>44462</v>
      </c>
      <c r="I791" s="6">
        <f>IFERROR(__xludf.DUMMYFUNCTION("""COMPUTED_VALUE"""),0.9447685185185185)</f>
        <v>0.9447685185</v>
      </c>
    </row>
    <row r="792">
      <c r="A792" s="2">
        <v>4.26</v>
      </c>
      <c r="B792" s="2">
        <v>229.9</v>
      </c>
      <c r="C792" s="2">
        <v>616.5</v>
      </c>
      <c r="D792" s="2">
        <v>6.32</v>
      </c>
      <c r="E792" s="2">
        <v>0.63</v>
      </c>
      <c r="F792" s="2">
        <v>49.9</v>
      </c>
      <c r="G792" s="3">
        <v>44462.94487394676</v>
      </c>
      <c r="H792" s="5">
        <f>IFERROR(__xludf.DUMMYFUNCTION("SPLIT(G792,"","")"),44462.0)</f>
        <v>44462</v>
      </c>
      <c r="I792" s="6">
        <f>IFERROR(__xludf.DUMMYFUNCTION("""COMPUTED_VALUE"""),0.9448726851851852)</f>
        <v>0.9448726852</v>
      </c>
    </row>
    <row r="793">
      <c r="A793" s="2">
        <v>4.26</v>
      </c>
      <c r="B793" s="2">
        <v>230.0</v>
      </c>
      <c r="C793" s="2">
        <v>616.7</v>
      </c>
      <c r="D793" s="2">
        <v>6.33</v>
      </c>
      <c r="E793" s="2">
        <v>0.63</v>
      </c>
      <c r="F793" s="2">
        <v>50.0</v>
      </c>
      <c r="G793" s="3">
        <v>44462.94497667824</v>
      </c>
      <c r="H793" s="5">
        <f>IFERROR(__xludf.DUMMYFUNCTION("SPLIT(G793,"","")"),44462.0)</f>
        <v>44462</v>
      </c>
      <c r="I793" s="6">
        <f>IFERROR(__xludf.DUMMYFUNCTION("""COMPUTED_VALUE"""),0.9449768518518519)</f>
        <v>0.9449768519</v>
      </c>
    </row>
    <row r="794">
      <c r="A794" s="2">
        <v>4.28</v>
      </c>
      <c r="B794" s="2">
        <v>230.1</v>
      </c>
      <c r="C794" s="2">
        <v>617.0</v>
      </c>
      <c r="D794" s="2">
        <v>6.33</v>
      </c>
      <c r="E794" s="2">
        <v>0.63</v>
      </c>
      <c r="F794" s="2">
        <v>50.0</v>
      </c>
      <c r="G794" s="3">
        <v>44462.94512178241</v>
      </c>
      <c r="H794" s="5">
        <f>IFERROR(__xludf.DUMMYFUNCTION("SPLIT(G794,"","")"),44462.0)</f>
        <v>44462</v>
      </c>
      <c r="I794" s="6">
        <f>IFERROR(__xludf.DUMMYFUNCTION("""COMPUTED_VALUE"""),0.9451273148148148)</f>
        <v>0.9451273148</v>
      </c>
    </row>
    <row r="795">
      <c r="A795" s="2">
        <v>4.24</v>
      </c>
      <c r="B795" s="2">
        <v>230.2</v>
      </c>
      <c r="C795" s="2">
        <v>613.8</v>
      </c>
      <c r="D795" s="2">
        <v>6.33</v>
      </c>
      <c r="E795" s="2">
        <v>0.63</v>
      </c>
      <c r="F795" s="2">
        <v>50.0</v>
      </c>
      <c r="G795" s="3">
        <v>44462.945223946765</v>
      </c>
      <c r="H795" s="5">
        <f>IFERROR(__xludf.DUMMYFUNCTION("SPLIT(G795,"","")"),44462.0)</f>
        <v>44462</v>
      </c>
      <c r="I795" s="6">
        <f>IFERROR(__xludf.DUMMYFUNCTION("""COMPUTED_VALUE"""),0.9452199074074074)</f>
        <v>0.9452199074</v>
      </c>
    </row>
    <row r="796">
      <c r="A796" s="2">
        <v>4.23</v>
      </c>
      <c r="B796" s="2">
        <v>230.2</v>
      </c>
      <c r="C796" s="2">
        <v>611.6</v>
      </c>
      <c r="D796" s="2">
        <v>6.33</v>
      </c>
      <c r="E796" s="2">
        <v>0.63</v>
      </c>
      <c r="F796" s="2">
        <v>50.0</v>
      </c>
      <c r="G796" s="3">
        <v>44462.94532528935</v>
      </c>
      <c r="H796" s="5">
        <f>IFERROR(__xludf.DUMMYFUNCTION("SPLIT(G796,"","")"),44462.0)</f>
        <v>44462</v>
      </c>
      <c r="I796" s="6">
        <f>IFERROR(__xludf.DUMMYFUNCTION("""COMPUTED_VALUE"""),0.945324074074074)</f>
        <v>0.9453240741</v>
      </c>
    </row>
    <row r="797">
      <c r="A797" s="2">
        <v>4.19</v>
      </c>
      <c r="B797" s="2">
        <v>230.1</v>
      </c>
      <c r="C797" s="2">
        <v>604.4</v>
      </c>
      <c r="D797" s="2">
        <v>6.33</v>
      </c>
      <c r="E797" s="2">
        <v>0.63</v>
      </c>
      <c r="F797" s="2">
        <v>50.0</v>
      </c>
      <c r="G797" s="3">
        <v>44462.945428645835</v>
      </c>
      <c r="H797" s="5">
        <f>IFERROR(__xludf.DUMMYFUNCTION("SPLIT(G797,"","")"),44462.0)</f>
        <v>44462</v>
      </c>
      <c r="I797" s="6">
        <f>IFERROR(__xludf.DUMMYFUNCTION("""COMPUTED_VALUE"""),0.9454282407407407)</f>
        <v>0.9454282407</v>
      </c>
    </row>
    <row r="798">
      <c r="A798" s="2">
        <v>4.08</v>
      </c>
      <c r="B798" s="2">
        <v>230.1</v>
      </c>
      <c r="C798" s="2">
        <v>586.3</v>
      </c>
      <c r="D798" s="2">
        <v>6.33</v>
      </c>
      <c r="E798" s="2">
        <v>0.62</v>
      </c>
      <c r="F798" s="2">
        <v>49.9</v>
      </c>
      <c r="G798" s="3">
        <v>44462.94553103009</v>
      </c>
      <c r="H798" s="5">
        <f>IFERROR(__xludf.DUMMYFUNCTION("SPLIT(G798,"","")"),44462.0)</f>
        <v>44462</v>
      </c>
      <c r="I798" s="6">
        <f>IFERROR(__xludf.DUMMYFUNCTION("""COMPUTED_VALUE"""),0.9455324074074074)</f>
        <v>0.9455324074</v>
      </c>
    </row>
    <row r="799">
      <c r="A799" s="2">
        <v>4.05</v>
      </c>
      <c r="B799" s="2">
        <v>230.2</v>
      </c>
      <c r="C799" s="2">
        <v>581.9</v>
      </c>
      <c r="D799" s="2">
        <v>6.34</v>
      </c>
      <c r="E799" s="2">
        <v>0.62</v>
      </c>
      <c r="F799" s="2">
        <v>49.9</v>
      </c>
      <c r="G799" s="3">
        <v>44462.945638171295</v>
      </c>
      <c r="H799" s="5">
        <f>IFERROR(__xludf.DUMMYFUNCTION("SPLIT(G799,"","")"),44462.0)</f>
        <v>44462</v>
      </c>
      <c r="I799" s="6">
        <f>IFERROR(__xludf.DUMMYFUNCTION("""COMPUTED_VALUE"""),0.9456365740740741)</f>
        <v>0.9456365741</v>
      </c>
    </row>
    <row r="800">
      <c r="A800" s="2">
        <v>4.01</v>
      </c>
      <c r="B800" s="2">
        <v>230.2</v>
      </c>
      <c r="C800" s="2">
        <v>574.6</v>
      </c>
      <c r="D800" s="2">
        <v>6.34</v>
      </c>
      <c r="E800" s="2">
        <v>0.62</v>
      </c>
      <c r="F800" s="2">
        <v>49.9</v>
      </c>
      <c r="G800" s="3">
        <v>44462.94574542824</v>
      </c>
      <c r="H800" s="5">
        <f>IFERROR(__xludf.DUMMYFUNCTION("SPLIT(G800,"","")"),44462.0)</f>
        <v>44462</v>
      </c>
      <c r="I800" s="6">
        <f>IFERROR(__xludf.DUMMYFUNCTION("""COMPUTED_VALUE"""),0.9457407407407408)</f>
        <v>0.9457407407</v>
      </c>
    </row>
    <row r="801">
      <c r="A801" s="2">
        <v>3.93</v>
      </c>
      <c r="B801" s="2">
        <v>230.2</v>
      </c>
      <c r="C801" s="2">
        <v>563.5</v>
      </c>
      <c r="D801" s="2">
        <v>6.34</v>
      </c>
      <c r="E801" s="2">
        <v>0.62</v>
      </c>
      <c r="F801" s="2">
        <v>49.9</v>
      </c>
      <c r="G801" s="3">
        <v>44462.94584988426</v>
      </c>
      <c r="H801" s="5">
        <f>IFERROR(__xludf.DUMMYFUNCTION("SPLIT(G801,"","")"),44462.0)</f>
        <v>44462</v>
      </c>
      <c r="I801" s="6">
        <f>IFERROR(__xludf.DUMMYFUNCTION("""COMPUTED_VALUE"""),0.9458449074074075)</f>
        <v>0.9458449074</v>
      </c>
    </row>
    <row r="802">
      <c r="A802" s="2">
        <v>3.88</v>
      </c>
      <c r="B802" s="2">
        <v>230.1</v>
      </c>
      <c r="C802" s="2">
        <v>554.2</v>
      </c>
      <c r="D802" s="2">
        <v>6.34</v>
      </c>
      <c r="E802" s="2">
        <v>0.62</v>
      </c>
      <c r="F802" s="2">
        <v>49.9</v>
      </c>
      <c r="G802" s="3">
        <v>44462.94595688657</v>
      </c>
      <c r="H802" s="5">
        <f>IFERROR(__xludf.DUMMYFUNCTION("SPLIT(G802,"","")"),44462.0)</f>
        <v>44462</v>
      </c>
      <c r="I802" s="6">
        <f>IFERROR(__xludf.DUMMYFUNCTION("""COMPUTED_VALUE"""),0.9459606481481482)</f>
        <v>0.9459606481</v>
      </c>
    </row>
    <row r="803">
      <c r="A803" s="2">
        <v>3.81</v>
      </c>
      <c r="B803" s="2">
        <v>230.2</v>
      </c>
      <c r="C803" s="2">
        <v>542.8</v>
      </c>
      <c r="D803" s="2">
        <v>6.34</v>
      </c>
      <c r="E803" s="2">
        <v>0.62</v>
      </c>
      <c r="F803" s="2">
        <v>49.9</v>
      </c>
      <c r="G803" s="3">
        <v>44462.946067233795</v>
      </c>
      <c r="H803" s="5">
        <f>IFERROR(__xludf.DUMMYFUNCTION("SPLIT(G803,"","")"),44462.0)</f>
        <v>44462</v>
      </c>
      <c r="I803" s="6">
        <f>IFERROR(__xludf.DUMMYFUNCTION("""COMPUTED_VALUE"""),0.9460648148148149)</f>
        <v>0.9460648148</v>
      </c>
    </row>
    <row r="804">
      <c r="A804" s="2">
        <v>3.75</v>
      </c>
      <c r="B804" s="2">
        <v>230.2</v>
      </c>
      <c r="C804" s="2">
        <v>534.0</v>
      </c>
      <c r="D804" s="2">
        <v>6.34</v>
      </c>
      <c r="E804" s="2">
        <v>0.62</v>
      </c>
      <c r="F804" s="2">
        <v>49.9</v>
      </c>
      <c r="G804" s="3">
        <v>44462.946175046294</v>
      </c>
      <c r="H804" s="5">
        <f>IFERROR(__xludf.DUMMYFUNCTION("SPLIT(G804,"","")"),44462.0)</f>
        <v>44462</v>
      </c>
      <c r="I804" s="6">
        <f>IFERROR(__xludf.DUMMYFUNCTION("""COMPUTED_VALUE"""),0.9461805555555556)</f>
        <v>0.9461805556</v>
      </c>
    </row>
    <row r="805">
      <c r="A805" s="2">
        <v>3.67</v>
      </c>
      <c r="B805" s="2">
        <v>230.2</v>
      </c>
      <c r="C805" s="2">
        <v>526.5</v>
      </c>
      <c r="D805" s="2">
        <v>6.34</v>
      </c>
      <c r="E805" s="2">
        <v>0.62</v>
      </c>
      <c r="F805" s="2">
        <v>49.9</v>
      </c>
      <c r="G805" s="3">
        <v>44462.94627901621</v>
      </c>
      <c r="H805" s="5">
        <f>IFERROR(__xludf.DUMMYFUNCTION("SPLIT(G805,"","")"),44462.0)</f>
        <v>44462</v>
      </c>
      <c r="I805" s="6">
        <f>IFERROR(__xludf.DUMMYFUNCTION("""COMPUTED_VALUE"""),0.9462847222222223)</f>
        <v>0.9462847222</v>
      </c>
    </row>
    <row r="806">
      <c r="A806" s="2">
        <v>3.64</v>
      </c>
      <c r="B806" s="2">
        <v>230.3</v>
      </c>
      <c r="C806" s="2">
        <v>523.0</v>
      </c>
      <c r="D806" s="2">
        <v>6.35</v>
      </c>
      <c r="E806" s="2">
        <v>0.62</v>
      </c>
      <c r="F806" s="2">
        <v>49.9</v>
      </c>
      <c r="G806" s="3">
        <v>44462.9463837963</v>
      </c>
      <c r="H806" s="5">
        <f>IFERROR(__xludf.DUMMYFUNCTION("SPLIT(G806,"","")"),44462.0)</f>
        <v>44462</v>
      </c>
      <c r="I806" s="6">
        <f>IFERROR(__xludf.DUMMYFUNCTION("""COMPUTED_VALUE"""),0.9463888888888888)</f>
        <v>0.9463888889</v>
      </c>
    </row>
    <row r="807">
      <c r="A807" s="2">
        <v>3.57</v>
      </c>
      <c r="B807" s="2">
        <v>230.3</v>
      </c>
      <c r="C807" s="2">
        <v>513.4</v>
      </c>
      <c r="D807" s="2">
        <v>6.35</v>
      </c>
      <c r="E807" s="2">
        <v>0.62</v>
      </c>
      <c r="F807" s="2">
        <v>50.0</v>
      </c>
      <c r="G807" s="3">
        <v>44462.94649219907</v>
      </c>
      <c r="H807" s="5">
        <f>IFERROR(__xludf.DUMMYFUNCTION("SPLIT(G807,"","")"),44462.0)</f>
        <v>44462</v>
      </c>
      <c r="I807" s="6">
        <f>IFERROR(__xludf.DUMMYFUNCTION("""COMPUTED_VALUE"""),0.9464930555555555)</f>
        <v>0.9464930556</v>
      </c>
    </row>
    <row r="808">
      <c r="A808" s="2">
        <v>3.49</v>
      </c>
      <c r="B808" s="2">
        <v>230.4</v>
      </c>
      <c r="C808" s="2">
        <v>502.6</v>
      </c>
      <c r="D808" s="2">
        <v>6.35</v>
      </c>
      <c r="E808" s="2">
        <v>0.62</v>
      </c>
      <c r="F808" s="2">
        <v>49.9</v>
      </c>
      <c r="G808" s="3">
        <v>44462.94659872685</v>
      </c>
      <c r="H808" s="5">
        <f>IFERROR(__xludf.DUMMYFUNCTION("SPLIT(G808,"","")"),44462.0)</f>
        <v>44462</v>
      </c>
      <c r="I808" s="6">
        <f>IFERROR(__xludf.DUMMYFUNCTION("""COMPUTED_VALUE"""),0.9465972222222222)</f>
        <v>0.9465972222</v>
      </c>
    </row>
    <row r="809">
      <c r="A809" s="2">
        <v>3.47</v>
      </c>
      <c r="B809" s="2">
        <v>230.3</v>
      </c>
      <c r="C809" s="2">
        <v>499.2</v>
      </c>
      <c r="D809" s="2">
        <v>6.35</v>
      </c>
      <c r="E809" s="2">
        <v>0.62</v>
      </c>
      <c r="F809" s="2">
        <v>50.0</v>
      </c>
      <c r="G809" s="3">
        <v>44462.94671159722</v>
      </c>
      <c r="H809" s="5">
        <f>IFERROR(__xludf.DUMMYFUNCTION("SPLIT(G809,"","")"),44462.0)</f>
        <v>44462</v>
      </c>
      <c r="I809" s="6">
        <f>IFERROR(__xludf.DUMMYFUNCTION("""COMPUTED_VALUE"""),0.9467129629629629)</f>
        <v>0.946712963</v>
      </c>
    </row>
    <row r="810">
      <c r="A810" s="2">
        <v>3.41</v>
      </c>
      <c r="B810" s="2">
        <v>230.4</v>
      </c>
      <c r="C810" s="2">
        <v>489.1</v>
      </c>
      <c r="D810" s="2">
        <v>6.35</v>
      </c>
      <c r="E810" s="2">
        <v>0.62</v>
      </c>
      <c r="F810" s="2">
        <v>50.0</v>
      </c>
      <c r="G810" s="3">
        <v>44462.946812870374</v>
      </c>
      <c r="H810" s="5">
        <f>IFERROR(__xludf.DUMMYFUNCTION("SPLIT(G810,"","")"),44462.0)</f>
        <v>44462</v>
      </c>
      <c r="I810" s="6">
        <f>IFERROR(__xludf.DUMMYFUNCTION("""COMPUTED_VALUE"""),0.9468171296296296)</f>
        <v>0.9468171296</v>
      </c>
    </row>
    <row r="811">
      <c r="A811" s="2">
        <v>3.37</v>
      </c>
      <c r="B811" s="2">
        <v>230.5</v>
      </c>
      <c r="C811" s="2">
        <v>484.2</v>
      </c>
      <c r="D811" s="2">
        <v>6.35</v>
      </c>
      <c r="E811" s="2">
        <v>0.62</v>
      </c>
      <c r="F811" s="2">
        <v>50.0</v>
      </c>
      <c r="G811" s="3">
        <v>44462.94691805556</v>
      </c>
      <c r="H811" s="5">
        <f>IFERROR(__xludf.DUMMYFUNCTION("SPLIT(G811,"","")"),44462.0)</f>
        <v>44462</v>
      </c>
      <c r="I811" s="6">
        <f>IFERROR(__xludf.DUMMYFUNCTION("""COMPUTED_VALUE"""),0.9469212962962963)</f>
        <v>0.9469212963</v>
      </c>
    </row>
    <row r="812">
      <c r="A812" s="2">
        <v>3.35</v>
      </c>
      <c r="B812" s="2">
        <v>230.5</v>
      </c>
      <c r="C812" s="2">
        <v>481.0</v>
      </c>
      <c r="D812" s="2">
        <v>6.35</v>
      </c>
      <c r="E812" s="2">
        <v>0.62</v>
      </c>
      <c r="F812" s="2">
        <v>49.9</v>
      </c>
      <c r="G812" s="3">
        <v>44462.94702306713</v>
      </c>
      <c r="H812" s="5">
        <f>IFERROR(__xludf.DUMMYFUNCTION("SPLIT(G812,"","")"),44462.0)</f>
        <v>44462</v>
      </c>
      <c r="I812" s="6">
        <f>IFERROR(__xludf.DUMMYFUNCTION("""COMPUTED_VALUE"""),0.947025462962963)</f>
        <v>0.947025463</v>
      </c>
    </row>
    <row r="813">
      <c r="A813" s="2">
        <v>3.33</v>
      </c>
      <c r="B813" s="2">
        <v>230.0</v>
      </c>
      <c r="C813" s="2">
        <v>474.0</v>
      </c>
      <c r="D813" s="2">
        <v>6.36</v>
      </c>
      <c r="E813" s="2">
        <v>0.62</v>
      </c>
      <c r="F813" s="2">
        <v>49.9</v>
      </c>
      <c r="G813" s="3">
        <v>44462.94712483796</v>
      </c>
      <c r="H813" s="5">
        <f>IFERROR(__xludf.DUMMYFUNCTION("SPLIT(G813,"","")"),44462.0)</f>
        <v>44462</v>
      </c>
      <c r="I813" s="6">
        <f>IFERROR(__xludf.DUMMYFUNCTION("""COMPUTED_VALUE"""),0.9471296296296297)</f>
        <v>0.9471296296</v>
      </c>
    </row>
    <row r="814">
      <c r="A814" s="2">
        <v>3.31</v>
      </c>
      <c r="B814" s="2">
        <v>229.8</v>
      </c>
      <c r="C814" s="2">
        <v>470.8</v>
      </c>
      <c r="D814" s="2">
        <v>6.36</v>
      </c>
      <c r="E814" s="2">
        <v>0.62</v>
      </c>
      <c r="F814" s="2">
        <v>49.9</v>
      </c>
      <c r="G814" s="3">
        <v>44462.94722657408</v>
      </c>
      <c r="H814" s="5">
        <f>IFERROR(__xludf.DUMMYFUNCTION("SPLIT(G814,"","")"),44462.0)</f>
        <v>44462</v>
      </c>
      <c r="I814" s="6">
        <f>IFERROR(__xludf.DUMMYFUNCTION("""COMPUTED_VALUE"""),0.9472222222222222)</f>
        <v>0.9472222222</v>
      </c>
    </row>
    <row r="815">
      <c r="A815" s="2">
        <v>3.26</v>
      </c>
      <c r="B815" s="2">
        <v>230.0</v>
      </c>
      <c r="C815" s="2">
        <v>462.0</v>
      </c>
      <c r="D815" s="2">
        <v>6.36</v>
      </c>
      <c r="E815" s="2">
        <v>0.62</v>
      </c>
      <c r="F815" s="2">
        <v>49.9</v>
      </c>
      <c r="G815" s="3">
        <v>44462.947328124996</v>
      </c>
      <c r="H815" s="5">
        <f>IFERROR(__xludf.DUMMYFUNCTION("SPLIT(G815,"","")"),44462.0)</f>
        <v>44462</v>
      </c>
      <c r="I815" s="6">
        <f>IFERROR(__xludf.DUMMYFUNCTION("""COMPUTED_VALUE"""),0.9473263888888889)</f>
        <v>0.9473263889</v>
      </c>
    </row>
    <row r="816">
      <c r="A816" s="2">
        <v>3.26</v>
      </c>
      <c r="B816" s="2">
        <v>229.8</v>
      </c>
      <c r="C816" s="2">
        <v>461.9</v>
      </c>
      <c r="D816" s="2">
        <v>6.36</v>
      </c>
      <c r="E816" s="2">
        <v>0.62</v>
      </c>
      <c r="F816" s="2">
        <v>49.9</v>
      </c>
      <c r="G816" s="3">
        <v>44462.94743143518</v>
      </c>
      <c r="H816" s="5">
        <f>IFERROR(__xludf.DUMMYFUNCTION("SPLIT(G816,"","")"),44462.0)</f>
        <v>44462</v>
      </c>
      <c r="I816" s="6">
        <f>IFERROR(__xludf.DUMMYFUNCTION("""COMPUTED_VALUE"""),0.9474305555555556)</f>
        <v>0.9474305556</v>
      </c>
    </row>
    <row r="817">
      <c r="A817" s="2">
        <v>3.21</v>
      </c>
      <c r="B817" s="2">
        <v>229.8</v>
      </c>
      <c r="C817" s="2">
        <v>455.1</v>
      </c>
      <c r="D817" s="2">
        <v>6.36</v>
      </c>
      <c r="E817" s="2">
        <v>0.62</v>
      </c>
      <c r="F817" s="2">
        <v>49.9</v>
      </c>
      <c r="G817" s="3">
        <v>44462.9475368287</v>
      </c>
      <c r="H817" s="5">
        <f>IFERROR(__xludf.DUMMYFUNCTION("SPLIT(G817,"","")"),44462.0)</f>
        <v>44462</v>
      </c>
      <c r="I817" s="6">
        <f>IFERROR(__xludf.DUMMYFUNCTION("""COMPUTED_VALUE"""),0.9475347222222222)</f>
        <v>0.9475347222</v>
      </c>
    </row>
    <row r="818">
      <c r="A818" s="2">
        <v>3.15</v>
      </c>
      <c r="B818" s="2">
        <v>229.9</v>
      </c>
      <c r="C818" s="2">
        <v>446.8</v>
      </c>
      <c r="D818" s="2">
        <v>6.36</v>
      </c>
      <c r="E818" s="2">
        <v>0.62</v>
      </c>
      <c r="F818" s="2">
        <v>49.9</v>
      </c>
      <c r="G818" s="3">
        <v>44462.94764753472</v>
      </c>
      <c r="H818" s="5">
        <f>IFERROR(__xludf.DUMMYFUNCTION("SPLIT(G818,"","")"),44462.0)</f>
        <v>44462</v>
      </c>
      <c r="I818" s="6">
        <f>IFERROR(__xludf.DUMMYFUNCTION("""COMPUTED_VALUE"""),0.947650462962963)</f>
        <v>0.947650463</v>
      </c>
    </row>
    <row r="819">
      <c r="A819" s="2">
        <v>3.13</v>
      </c>
      <c r="B819" s="2">
        <v>230.0</v>
      </c>
      <c r="C819" s="2">
        <v>442.3</v>
      </c>
      <c r="D819" s="2">
        <v>6.36</v>
      </c>
      <c r="E819" s="2">
        <v>0.62</v>
      </c>
      <c r="F819" s="2">
        <v>49.9</v>
      </c>
      <c r="G819" s="3">
        <v>44462.947754444445</v>
      </c>
      <c r="H819" s="5">
        <f>IFERROR(__xludf.DUMMYFUNCTION("SPLIT(G819,"","")"),44462.0)</f>
        <v>44462</v>
      </c>
      <c r="I819" s="6">
        <f>IFERROR(__xludf.DUMMYFUNCTION("""COMPUTED_VALUE"""),0.9477546296296296)</f>
        <v>0.9477546296</v>
      </c>
    </row>
    <row r="820">
      <c r="A820" s="2">
        <v>3.11</v>
      </c>
      <c r="B820" s="2">
        <v>230.0</v>
      </c>
      <c r="C820" s="2">
        <v>439.9</v>
      </c>
      <c r="D820" s="2">
        <v>6.36</v>
      </c>
      <c r="E820" s="2">
        <v>0.62</v>
      </c>
      <c r="F820" s="2">
        <v>49.9</v>
      </c>
      <c r="G820" s="3">
        <v>44462.947856377315</v>
      </c>
      <c r="H820" s="5">
        <f>IFERROR(__xludf.DUMMYFUNCTION("SPLIT(G820,"","")"),44462.0)</f>
        <v>44462</v>
      </c>
      <c r="I820" s="6">
        <f>IFERROR(__xludf.DUMMYFUNCTION("""COMPUTED_VALUE"""),0.9478587962962963)</f>
        <v>0.9478587963</v>
      </c>
    </row>
    <row r="821">
      <c r="A821" s="2">
        <v>3.07</v>
      </c>
      <c r="B821" s="2">
        <v>230.0</v>
      </c>
      <c r="C821" s="2">
        <v>432.9</v>
      </c>
      <c r="D821" s="2">
        <v>6.36</v>
      </c>
      <c r="E821" s="2">
        <v>0.61</v>
      </c>
      <c r="F821" s="2">
        <v>49.9</v>
      </c>
      <c r="G821" s="3">
        <v>44462.947957303244</v>
      </c>
      <c r="H821" s="5">
        <f>IFERROR(__xludf.DUMMYFUNCTION("SPLIT(G821,"","")"),44462.0)</f>
        <v>44462</v>
      </c>
      <c r="I821" s="6">
        <f>IFERROR(__xludf.DUMMYFUNCTION("""COMPUTED_VALUE"""),0.947962962962963)</f>
        <v>0.947962963</v>
      </c>
    </row>
    <row r="822">
      <c r="A822" s="2">
        <v>3.03</v>
      </c>
      <c r="B822" s="2">
        <v>230.1</v>
      </c>
      <c r="C822" s="2">
        <v>424.9</v>
      </c>
      <c r="D822" s="2">
        <v>6.36</v>
      </c>
      <c r="E822" s="2">
        <v>0.61</v>
      </c>
      <c r="F822" s="2">
        <v>49.9</v>
      </c>
      <c r="G822" s="3">
        <v>44462.94806263889</v>
      </c>
      <c r="H822" s="5">
        <f>IFERROR(__xludf.DUMMYFUNCTION("SPLIT(G822,"","")"),44462.0)</f>
        <v>44462</v>
      </c>
      <c r="I822" s="6">
        <f>IFERROR(__xludf.DUMMYFUNCTION("""COMPUTED_VALUE"""),0.9480671296296296)</f>
        <v>0.9480671296</v>
      </c>
    </row>
    <row r="823">
      <c r="A823" s="2">
        <v>3.01</v>
      </c>
      <c r="B823" s="2">
        <v>230.1</v>
      </c>
      <c r="C823" s="2">
        <v>421.4</v>
      </c>
      <c r="D823" s="2">
        <v>6.37</v>
      </c>
      <c r="E823" s="2">
        <v>0.61</v>
      </c>
      <c r="F823" s="2">
        <v>50.0</v>
      </c>
      <c r="G823" s="3">
        <v>44462.94817447917</v>
      </c>
      <c r="H823" s="5">
        <f>IFERROR(__xludf.DUMMYFUNCTION("SPLIT(G823,"","")"),44462.0)</f>
        <v>44462</v>
      </c>
      <c r="I823" s="6">
        <f>IFERROR(__xludf.DUMMYFUNCTION("""COMPUTED_VALUE"""),0.9481712962962963)</f>
        <v>0.9481712963</v>
      </c>
    </row>
    <row r="824">
      <c r="A824" s="2">
        <v>2.99</v>
      </c>
      <c r="B824" s="2">
        <v>230.1</v>
      </c>
      <c r="C824" s="2">
        <v>417.7</v>
      </c>
      <c r="D824" s="2">
        <v>6.37</v>
      </c>
      <c r="E824" s="2">
        <v>0.61</v>
      </c>
      <c r="F824" s="2">
        <v>49.9</v>
      </c>
      <c r="G824" s="3">
        <v>44462.948281805555</v>
      </c>
      <c r="H824" s="5">
        <f>IFERROR(__xludf.DUMMYFUNCTION("SPLIT(G824,"","")"),44462.0)</f>
        <v>44462</v>
      </c>
      <c r="I824" s="6">
        <f>IFERROR(__xludf.DUMMYFUNCTION("""COMPUTED_VALUE"""),0.948287037037037)</f>
        <v>0.948287037</v>
      </c>
    </row>
    <row r="825">
      <c r="A825" s="2">
        <v>2.95</v>
      </c>
      <c r="B825" s="2">
        <v>230.2</v>
      </c>
      <c r="C825" s="2">
        <v>412.7</v>
      </c>
      <c r="D825" s="2">
        <v>6.37</v>
      </c>
      <c r="E825" s="2">
        <v>0.61</v>
      </c>
      <c r="F825" s="2">
        <v>49.9</v>
      </c>
      <c r="G825" s="3">
        <v>44462.948383124996</v>
      </c>
      <c r="H825" s="5">
        <f>IFERROR(__xludf.DUMMYFUNCTION("SPLIT(G825,"","")"),44462.0)</f>
        <v>44462</v>
      </c>
      <c r="I825" s="6">
        <f>IFERROR(__xludf.DUMMYFUNCTION("""COMPUTED_VALUE"""),0.9483796296296296)</f>
        <v>0.9483796296</v>
      </c>
    </row>
    <row r="826">
      <c r="A826" s="2">
        <v>2.96</v>
      </c>
      <c r="B826" s="2">
        <v>230.0</v>
      </c>
      <c r="C826" s="2">
        <v>412.2</v>
      </c>
      <c r="D826" s="2">
        <v>6.37</v>
      </c>
      <c r="E826" s="2">
        <v>0.61</v>
      </c>
      <c r="F826" s="2">
        <v>49.9</v>
      </c>
      <c r="G826" s="3">
        <v>44462.94848584491</v>
      </c>
      <c r="H826" s="5">
        <f>IFERROR(__xludf.DUMMYFUNCTION("SPLIT(G826,"","")"),44462.0)</f>
        <v>44462</v>
      </c>
      <c r="I826" s="6">
        <f>IFERROR(__xludf.DUMMYFUNCTION("""COMPUTED_VALUE"""),0.9484837962962963)</f>
        <v>0.9484837963</v>
      </c>
    </row>
    <row r="827">
      <c r="A827" s="2">
        <v>2.9</v>
      </c>
      <c r="B827" s="2">
        <v>230.2</v>
      </c>
      <c r="C827" s="2">
        <v>403.6</v>
      </c>
      <c r="D827" s="2">
        <v>6.37</v>
      </c>
      <c r="E827" s="2">
        <v>0.6</v>
      </c>
      <c r="F827" s="2">
        <v>49.9</v>
      </c>
      <c r="G827" s="3">
        <v>44462.94859288195</v>
      </c>
      <c r="H827" s="5">
        <f>IFERROR(__xludf.DUMMYFUNCTION("SPLIT(G827,"","")"),44462.0)</f>
        <v>44462</v>
      </c>
      <c r="I827" s="6">
        <f>IFERROR(__xludf.DUMMYFUNCTION("""COMPUTED_VALUE"""),0.948587962962963)</f>
        <v>0.948587963</v>
      </c>
    </row>
    <row r="828">
      <c r="A828" s="2">
        <v>2.86</v>
      </c>
      <c r="B828" s="2">
        <v>230.2</v>
      </c>
      <c r="C828" s="2">
        <v>397.4</v>
      </c>
      <c r="D828" s="2">
        <v>6.37</v>
      </c>
      <c r="E828" s="2">
        <v>0.6</v>
      </c>
      <c r="F828" s="2">
        <v>49.9</v>
      </c>
      <c r="G828" s="3">
        <v>44462.948699201384</v>
      </c>
      <c r="H828" s="5">
        <f>IFERROR(__xludf.DUMMYFUNCTION("SPLIT(G828,"","")"),44462.0)</f>
        <v>44462</v>
      </c>
      <c r="I828" s="6">
        <f>IFERROR(__xludf.DUMMYFUNCTION("""COMPUTED_VALUE"""),0.9487037037037037)</f>
        <v>0.9487037037</v>
      </c>
    </row>
    <row r="829">
      <c r="A829" s="2">
        <v>2.81</v>
      </c>
      <c r="B829" s="2">
        <v>230.4</v>
      </c>
      <c r="C829" s="2">
        <v>391.9</v>
      </c>
      <c r="D829" s="2">
        <v>6.37</v>
      </c>
      <c r="E829" s="2">
        <v>0.61</v>
      </c>
      <c r="F829" s="2">
        <v>49.9</v>
      </c>
      <c r="G829" s="3">
        <v>44462.94880145833</v>
      </c>
      <c r="H829" s="5">
        <f>IFERROR(__xludf.DUMMYFUNCTION("SPLIT(G829,"","")"),44462.0)</f>
        <v>44462</v>
      </c>
      <c r="I829" s="6">
        <f>IFERROR(__xludf.DUMMYFUNCTION("""COMPUTED_VALUE"""),0.9487962962962962)</f>
        <v>0.9487962963</v>
      </c>
    </row>
    <row r="830">
      <c r="A830" s="2">
        <v>2.69</v>
      </c>
      <c r="B830" s="2">
        <v>230.8</v>
      </c>
      <c r="C830" s="2">
        <v>375.4</v>
      </c>
      <c r="D830" s="2">
        <v>6.38</v>
      </c>
      <c r="E830" s="2">
        <v>0.6</v>
      </c>
      <c r="F830" s="2">
        <v>50.0</v>
      </c>
      <c r="G830" s="3">
        <v>44462.94935005787</v>
      </c>
      <c r="H830" s="5">
        <f>IFERROR(__xludf.DUMMYFUNCTION("SPLIT(G830,"","")"),44462.0)</f>
        <v>44462</v>
      </c>
      <c r="I830" s="6">
        <f>IFERROR(__xludf.DUMMYFUNCTION("""COMPUTED_VALUE"""),0.9493518518518519)</f>
        <v>0.9493518519</v>
      </c>
    </row>
    <row r="831">
      <c r="A831" s="2">
        <v>2.68</v>
      </c>
      <c r="B831" s="2">
        <v>230.8</v>
      </c>
      <c r="C831" s="2">
        <v>373.8</v>
      </c>
      <c r="D831" s="2">
        <v>6.38</v>
      </c>
      <c r="E831" s="2">
        <v>0.6</v>
      </c>
      <c r="F831" s="2">
        <v>50.0</v>
      </c>
      <c r="G831" s="3">
        <v>44462.949411180554</v>
      </c>
      <c r="H831" s="5">
        <f>IFERROR(__xludf.DUMMYFUNCTION("SPLIT(G831,"","")"),44462.0)</f>
        <v>44462</v>
      </c>
      <c r="I831" s="6">
        <f>IFERROR(__xludf.DUMMYFUNCTION("""COMPUTED_VALUE"""),0.9494097222222222)</f>
        <v>0.9494097222</v>
      </c>
    </row>
    <row r="832">
      <c r="A832" s="2">
        <v>2.66</v>
      </c>
      <c r="B832" s="2">
        <v>230.9</v>
      </c>
      <c r="C832" s="2">
        <v>371.1</v>
      </c>
      <c r="D832" s="2">
        <v>6.38</v>
      </c>
      <c r="E832" s="2">
        <v>0.6</v>
      </c>
      <c r="F832" s="2">
        <v>50.0</v>
      </c>
      <c r="G832" s="3">
        <v>44462.94951769676</v>
      </c>
      <c r="H832" s="5">
        <f>IFERROR(__xludf.DUMMYFUNCTION("SPLIT(G832,"","")"),44462.0)</f>
        <v>44462</v>
      </c>
      <c r="I832" s="6">
        <f>IFERROR(__xludf.DUMMYFUNCTION("""COMPUTED_VALUE"""),0.9495138888888889)</f>
        <v>0.9495138889</v>
      </c>
    </row>
    <row r="833">
      <c r="A833" s="2">
        <v>2.63</v>
      </c>
      <c r="B833" s="2">
        <v>231.0</v>
      </c>
      <c r="C833" s="2">
        <v>366.2</v>
      </c>
      <c r="D833" s="2">
        <v>6.38</v>
      </c>
      <c r="E833" s="2">
        <v>0.6</v>
      </c>
      <c r="F833" s="2">
        <v>50.0</v>
      </c>
      <c r="G833" s="3">
        <v>44462.949625497684</v>
      </c>
      <c r="H833" s="5">
        <f>IFERROR(__xludf.DUMMYFUNCTION("SPLIT(G833,"","")"),44462.0)</f>
        <v>44462</v>
      </c>
      <c r="I833" s="6">
        <f>IFERROR(__xludf.DUMMYFUNCTION("""COMPUTED_VALUE"""),0.9496296296296296)</f>
        <v>0.9496296296</v>
      </c>
    </row>
    <row r="834">
      <c r="A834" s="2">
        <v>2.61</v>
      </c>
      <c r="B834" s="2">
        <v>230.8</v>
      </c>
      <c r="C834" s="2">
        <v>361.7</v>
      </c>
      <c r="D834" s="2">
        <v>6.38</v>
      </c>
      <c r="E834" s="2">
        <v>0.6</v>
      </c>
      <c r="F834" s="2">
        <v>50.0</v>
      </c>
      <c r="G834" s="3">
        <v>44462.949730520835</v>
      </c>
      <c r="H834" s="5">
        <f>IFERROR(__xludf.DUMMYFUNCTION("SPLIT(G834,"","")"),44462.0)</f>
        <v>44462</v>
      </c>
      <c r="I834" s="6">
        <f>IFERROR(__xludf.DUMMYFUNCTION("""COMPUTED_VALUE"""),0.9497337962962963)</f>
        <v>0.9497337963</v>
      </c>
    </row>
    <row r="835">
      <c r="A835" s="2">
        <v>2.55</v>
      </c>
      <c r="B835" s="2">
        <v>230.8</v>
      </c>
      <c r="C835" s="2">
        <v>353.4</v>
      </c>
      <c r="D835" s="2">
        <v>6.38</v>
      </c>
      <c r="E835" s="2">
        <v>0.6</v>
      </c>
      <c r="F835" s="2">
        <v>50.0</v>
      </c>
      <c r="G835" s="3">
        <v>44462.94983010417</v>
      </c>
      <c r="H835" s="5">
        <f>IFERROR(__xludf.DUMMYFUNCTION("SPLIT(G835,"","")"),44462.0)</f>
        <v>44462</v>
      </c>
      <c r="I835" s="6">
        <f>IFERROR(__xludf.DUMMYFUNCTION("""COMPUTED_VALUE"""),0.9498263888888889)</f>
        <v>0.9498263889</v>
      </c>
    </row>
    <row r="836">
      <c r="A836" s="2">
        <v>2.54</v>
      </c>
      <c r="B836" s="2">
        <v>230.8</v>
      </c>
      <c r="C836" s="2">
        <v>351.3</v>
      </c>
      <c r="D836" s="2">
        <v>6.38</v>
      </c>
      <c r="E836" s="2">
        <v>0.6</v>
      </c>
      <c r="F836" s="2">
        <v>50.0</v>
      </c>
      <c r="G836" s="3">
        <v>44462.94992988426</v>
      </c>
      <c r="H836" s="5">
        <f>IFERROR(__xludf.DUMMYFUNCTION("SPLIT(G836,"","")"),44462.0)</f>
        <v>44462</v>
      </c>
      <c r="I836" s="6">
        <f>IFERROR(__xludf.DUMMYFUNCTION("""COMPUTED_VALUE"""),0.9499305555555555)</f>
        <v>0.9499305556</v>
      </c>
    </row>
    <row r="837">
      <c r="A837" s="2">
        <v>2.54</v>
      </c>
      <c r="B837" s="2">
        <v>230.8</v>
      </c>
      <c r="C837" s="2">
        <v>351.3</v>
      </c>
      <c r="D837" s="2">
        <v>6.38</v>
      </c>
      <c r="E837" s="2">
        <v>0.6</v>
      </c>
      <c r="F837" s="2">
        <v>49.9</v>
      </c>
      <c r="G837" s="3">
        <v>44462.95003649306</v>
      </c>
      <c r="H837" s="5">
        <f>IFERROR(__xludf.DUMMYFUNCTION("SPLIT(G837,"","")"),44462.0)</f>
        <v>44462</v>
      </c>
      <c r="I837" s="6">
        <f>IFERROR(__xludf.DUMMYFUNCTION("""COMPUTED_VALUE"""),0.9500347222222222)</f>
        <v>0.9500347222</v>
      </c>
    </row>
    <row r="838">
      <c r="A838" s="2">
        <v>2.53</v>
      </c>
      <c r="B838" s="2">
        <v>230.9</v>
      </c>
      <c r="C838" s="2">
        <v>350.0</v>
      </c>
      <c r="D838" s="2">
        <v>6.38</v>
      </c>
      <c r="E838" s="2">
        <v>0.6</v>
      </c>
      <c r="F838" s="2">
        <v>50.0</v>
      </c>
      <c r="G838" s="3">
        <v>44462.950142500005</v>
      </c>
      <c r="H838" s="5">
        <f>IFERROR(__xludf.DUMMYFUNCTION("SPLIT(G838,"","")"),44462.0)</f>
        <v>44462</v>
      </c>
      <c r="I838" s="6">
        <f>IFERROR(__xludf.DUMMYFUNCTION("""COMPUTED_VALUE"""),0.9501388888888889)</f>
        <v>0.9501388889</v>
      </c>
    </row>
    <row r="839">
      <c r="A839" s="2">
        <v>2.49</v>
      </c>
      <c r="B839" s="2">
        <v>230.8</v>
      </c>
      <c r="C839" s="2">
        <v>344.5</v>
      </c>
      <c r="D839" s="2">
        <v>6.39</v>
      </c>
      <c r="E839" s="2">
        <v>0.6</v>
      </c>
      <c r="F839" s="2">
        <v>49.9</v>
      </c>
      <c r="G839" s="3">
        <v>44462.950241134255</v>
      </c>
      <c r="H839" s="5">
        <f>IFERROR(__xludf.DUMMYFUNCTION("SPLIT(G839,"","")"),44462.0)</f>
        <v>44462</v>
      </c>
      <c r="I839" s="6">
        <f>IFERROR(__xludf.DUMMYFUNCTION("""COMPUTED_VALUE"""),0.9502430555555555)</f>
        <v>0.9502430556</v>
      </c>
    </row>
    <row r="840">
      <c r="A840" s="2">
        <v>2.46</v>
      </c>
      <c r="B840" s="2">
        <v>230.9</v>
      </c>
      <c r="C840" s="2">
        <v>340.3</v>
      </c>
      <c r="D840" s="2">
        <v>6.39</v>
      </c>
      <c r="E840" s="2">
        <v>0.6</v>
      </c>
      <c r="F840" s="2">
        <v>49.9</v>
      </c>
      <c r="G840" s="3">
        <v>44462.95034398148</v>
      </c>
      <c r="H840" s="5">
        <f>IFERROR(__xludf.DUMMYFUNCTION("SPLIT(G840,"","")"),44462.0)</f>
        <v>44462</v>
      </c>
      <c r="I840" s="6">
        <f>IFERROR(__xludf.DUMMYFUNCTION("""COMPUTED_VALUE"""),0.9503472222222222)</f>
        <v>0.9503472222</v>
      </c>
    </row>
    <row r="841">
      <c r="A841" s="2">
        <v>2.43</v>
      </c>
      <c r="B841" s="2">
        <v>231.0</v>
      </c>
      <c r="C841" s="2">
        <v>336.8</v>
      </c>
      <c r="D841" s="2">
        <v>6.39</v>
      </c>
      <c r="E841" s="2">
        <v>0.6</v>
      </c>
      <c r="F841" s="2">
        <v>49.9</v>
      </c>
      <c r="G841" s="3">
        <v>44462.95044560185</v>
      </c>
      <c r="H841" s="5">
        <f>IFERROR(__xludf.DUMMYFUNCTION("SPLIT(G841,"","")"),44462.0)</f>
        <v>44462</v>
      </c>
      <c r="I841" s="6">
        <f>IFERROR(__xludf.DUMMYFUNCTION("""COMPUTED_VALUE"""),0.9504513888888889)</f>
        <v>0.9504513889</v>
      </c>
    </row>
    <row r="842">
      <c r="A842" s="2">
        <v>2.41</v>
      </c>
      <c r="B842" s="2">
        <v>231.2</v>
      </c>
      <c r="C842" s="2">
        <v>334.8</v>
      </c>
      <c r="D842" s="2">
        <v>6.39</v>
      </c>
      <c r="E842" s="2">
        <v>0.6</v>
      </c>
      <c r="F842" s="2">
        <v>49.9</v>
      </c>
      <c r="G842" s="3">
        <v>44462.95054899306</v>
      </c>
      <c r="H842" s="5">
        <f>IFERROR(__xludf.DUMMYFUNCTION("SPLIT(G842,"","")"),44462.0)</f>
        <v>44462</v>
      </c>
      <c r="I842" s="6">
        <f>IFERROR(__xludf.DUMMYFUNCTION("""COMPUTED_VALUE"""),0.9505439814814814)</f>
        <v>0.9505439815</v>
      </c>
    </row>
    <row r="843">
      <c r="A843" s="2">
        <v>2.4</v>
      </c>
      <c r="B843" s="2">
        <v>231.2</v>
      </c>
      <c r="C843" s="2">
        <v>332.9</v>
      </c>
      <c r="D843" s="2">
        <v>6.39</v>
      </c>
      <c r="E843" s="2">
        <v>0.6</v>
      </c>
      <c r="F843" s="2">
        <v>49.9</v>
      </c>
      <c r="G843" s="3">
        <v>44462.95064631944</v>
      </c>
      <c r="H843" s="5">
        <f>IFERROR(__xludf.DUMMYFUNCTION("SPLIT(G843,"","")"),44462.0)</f>
        <v>44462</v>
      </c>
      <c r="I843" s="6">
        <f>IFERROR(__xludf.DUMMYFUNCTION("""COMPUTED_VALUE"""),0.9506481481481481)</f>
        <v>0.9506481481</v>
      </c>
    </row>
    <row r="844">
      <c r="A844" s="2">
        <v>2.38</v>
      </c>
      <c r="B844" s="2">
        <v>231.3</v>
      </c>
      <c r="C844" s="2">
        <v>329.4</v>
      </c>
      <c r="D844" s="2">
        <v>6.39</v>
      </c>
      <c r="E844" s="2">
        <v>0.6</v>
      </c>
      <c r="F844" s="2">
        <v>49.9</v>
      </c>
      <c r="G844" s="3">
        <v>44462.95074732639</v>
      </c>
      <c r="H844" s="5">
        <f>IFERROR(__xludf.DUMMYFUNCTION("SPLIT(G844,"","")"),44462.0)</f>
        <v>44462</v>
      </c>
      <c r="I844" s="6">
        <f>IFERROR(__xludf.DUMMYFUNCTION("""COMPUTED_VALUE"""),0.9507523148148148)</f>
        <v>0.9507523148</v>
      </c>
    </row>
    <row r="845">
      <c r="A845" s="2">
        <v>2.37</v>
      </c>
      <c r="B845" s="2">
        <v>231.2</v>
      </c>
      <c r="C845" s="2">
        <v>328.0</v>
      </c>
      <c r="D845" s="2">
        <v>6.39</v>
      </c>
      <c r="E845" s="2">
        <v>0.6</v>
      </c>
      <c r="F845" s="2">
        <v>49.9</v>
      </c>
      <c r="G845" s="3">
        <v>44462.9508509375</v>
      </c>
      <c r="H845" s="5">
        <f>IFERROR(__xludf.DUMMYFUNCTION("SPLIT(G845,"","")"),44462.0)</f>
        <v>44462</v>
      </c>
      <c r="I845" s="6">
        <f>IFERROR(__xludf.DUMMYFUNCTION("""COMPUTED_VALUE"""),0.9508564814814815)</f>
        <v>0.9508564815</v>
      </c>
    </row>
    <row r="846">
      <c r="A846" s="2">
        <v>2.31</v>
      </c>
      <c r="B846" s="2">
        <v>231.3</v>
      </c>
      <c r="C846" s="2">
        <v>320.3</v>
      </c>
      <c r="D846" s="2">
        <v>6.39</v>
      </c>
      <c r="E846" s="2">
        <v>0.6</v>
      </c>
      <c r="F846" s="2">
        <v>49.9</v>
      </c>
      <c r="G846" s="3">
        <v>44462.95095017361</v>
      </c>
      <c r="H846" s="5">
        <f>IFERROR(__xludf.DUMMYFUNCTION("SPLIT(G846,"","")"),44462.0)</f>
        <v>44462</v>
      </c>
      <c r="I846" s="6">
        <f>IFERROR(__xludf.DUMMYFUNCTION("""COMPUTED_VALUE"""),0.950949074074074)</f>
        <v>0.9509490741</v>
      </c>
    </row>
    <row r="847">
      <c r="A847" s="2">
        <v>2.31</v>
      </c>
      <c r="B847" s="2">
        <v>231.1</v>
      </c>
      <c r="C847" s="2">
        <v>320.0</v>
      </c>
      <c r="D847" s="2">
        <v>6.39</v>
      </c>
      <c r="E847" s="2">
        <v>0.6</v>
      </c>
      <c r="F847" s="2">
        <v>49.9</v>
      </c>
      <c r="G847" s="3">
        <v>44462.951050324074</v>
      </c>
      <c r="H847" s="5">
        <f>IFERROR(__xludf.DUMMYFUNCTION("SPLIT(G847,"","")"),44462.0)</f>
        <v>44462</v>
      </c>
      <c r="I847" s="6">
        <f>IFERROR(__xludf.DUMMYFUNCTION("""COMPUTED_VALUE"""),0.9510532407407407)</f>
        <v>0.9510532407</v>
      </c>
    </row>
    <row r="848">
      <c r="A848" s="2">
        <v>2.3</v>
      </c>
      <c r="B848" s="2">
        <v>231.1</v>
      </c>
      <c r="C848" s="2">
        <v>318.5</v>
      </c>
      <c r="D848" s="2">
        <v>6.39</v>
      </c>
      <c r="E848" s="2">
        <v>0.6</v>
      </c>
      <c r="F848" s="2">
        <v>49.9</v>
      </c>
      <c r="G848" s="3">
        <v>44462.95115142361</v>
      </c>
      <c r="H848" s="5">
        <f>IFERROR(__xludf.DUMMYFUNCTION("SPLIT(G848,"","")"),44462.0)</f>
        <v>44462</v>
      </c>
      <c r="I848" s="6">
        <f>IFERROR(__xludf.DUMMYFUNCTION("""COMPUTED_VALUE"""),0.9511458333333334)</f>
        <v>0.9511458333</v>
      </c>
    </row>
    <row r="849">
      <c r="A849" s="2">
        <v>2.28</v>
      </c>
      <c r="B849" s="2">
        <v>231.2</v>
      </c>
      <c r="C849" s="2">
        <v>314.7</v>
      </c>
      <c r="D849" s="2">
        <v>6.39</v>
      </c>
      <c r="E849" s="2">
        <v>0.6</v>
      </c>
      <c r="F849" s="2">
        <v>50.0</v>
      </c>
      <c r="G849" s="3">
        <v>44462.95141101852</v>
      </c>
      <c r="H849" s="5">
        <f>IFERROR(__xludf.DUMMYFUNCTION("SPLIT(G849,"","")"),44462.0)</f>
        <v>44462</v>
      </c>
      <c r="I849" s="6">
        <f>IFERROR(__xludf.DUMMYFUNCTION("""COMPUTED_VALUE"""),0.951412037037037)</f>
        <v>0.951412037</v>
      </c>
    </row>
    <row r="850">
      <c r="A850" s="2">
        <v>2.28</v>
      </c>
      <c r="B850" s="2">
        <v>231.2</v>
      </c>
      <c r="C850" s="2">
        <v>314.7</v>
      </c>
      <c r="D850" s="2">
        <v>6.39</v>
      </c>
      <c r="E850" s="2">
        <v>0.6</v>
      </c>
      <c r="F850" s="2">
        <v>50.0</v>
      </c>
      <c r="G850" s="3">
        <v>44462.951457303236</v>
      </c>
      <c r="H850" s="5">
        <f>IFERROR(__xludf.DUMMYFUNCTION("SPLIT(G850,"","")"),44462.0)</f>
        <v>44462</v>
      </c>
      <c r="I850" s="6">
        <f>IFERROR(__xludf.DUMMYFUNCTION("""COMPUTED_VALUE"""),0.9514583333333333)</f>
        <v>0.9514583333</v>
      </c>
    </row>
    <row r="851">
      <c r="A851" s="2">
        <v>2.24</v>
      </c>
      <c r="B851" s="2">
        <v>231.4</v>
      </c>
      <c r="C851" s="2">
        <v>309.0</v>
      </c>
      <c r="D851" s="2">
        <v>6.39</v>
      </c>
      <c r="E851" s="2">
        <v>0.6</v>
      </c>
      <c r="F851" s="2">
        <v>50.0</v>
      </c>
      <c r="G851" s="3">
        <v>44462.95156133102</v>
      </c>
      <c r="H851" s="5">
        <f>IFERROR(__xludf.DUMMYFUNCTION("SPLIT(G851,"","")"),44462.0)</f>
        <v>44462</v>
      </c>
      <c r="I851" s="6">
        <f>IFERROR(__xludf.DUMMYFUNCTION("""COMPUTED_VALUE"""),0.9515625)</f>
        <v>0.9515625</v>
      </c>
    </row>
    <row r="852">
      <c r="A852" s="2">
        <v>2.2</v>
      </c>
      <c r="B852" s="2">
        <v>231.5</v>
      </c>
      <c r="C852" s="2">
        <v>303.6</v>
      </c>
      <c r="D852" s="2">
        <v>6.4</v>
      </c>
      <c r="E852" s="2">
        <v>0.6</v>
      </c>
      <c r="F852" s="2">
        <v>50.0</v>
      </c>
      <c r="G852" s="3">
        <v>44462.95167181713</v>
      </c>
      <c r="H852" s="5">
        <f>IFERROR(__xludf.DUMMYFUNCTION("SPLIT(G852,"","")"),44462.0)</f>
        <v>44462</v>
      </c>
      <c r="I852" s="6">
        <f>IFERROR(__xludf.DUMMYFUNCTION("""COMPUTED_VALUE"""),0.9516666666666667)</f>
        <v>0.9516666667</v>
      </c>
    </row>
    <row r="853">
      <c r="A853" s="2">
        <v>2.18</v>
      </c>
      <c r="B853" s="2">
        <v>231.5</v>
      </c>
      <c r="C853" s="2">
        <v>301.8</v>
      </c>
      <c r="D853" s="2">
        <v>6.4</v>
      </c>
      <c r="E853" s="2">
        <v>0.6</v>
      </c>
      <c r="F853" s="2">
        <v>50.0</v>
      </c>
      <c r="G853" s="3">
        <v>44462.951779236115</v>
      </c>
      <c r="H853" s="5">
        <f>IFERROR(__xludf.DUMMYFUNCTION("SPLIT(G853,"","")"),44462.0)</f>
        <v>44462</v>
      </c>
      <c r="I853" s="6">
        <f>IFERROR(__xludf.DUMMYFUNCTION("""COMPUTED_VALUE"""),0.9517824074074074)</f>
        <v>0.9517824074</v>
      </c>
    </row>
    <row r="854">
      <c r="A854" s="2">
        <v>2.15</v>
      </c>
      <c r="B854" s="2">
        <v>231.6</v>
      </c>
      <c r="C854" s="2">
        <v>296.6</v>
      </c>
      <c r="D854" s="2">
        <v>6.4</v>
      </c>
      <c r="E854" s="2">
        <v>0.59</v>
      </c>
      <c r="F854" s="2">
        <v>50.0</v>
      </c>
      <c r="G854" s="3">
        <v>44462.951884131944</v>
      </c>
      <c r="H854" s="5">
        <f>IFERROR(__xludf.DUMMYFUNCTION("SPLIT(G854,"","")"),44462.0)</f>
        <v>44462</v>
      </c>
      <c r="I854" s="6">
        <f>IFERROR(__xludf.DUMMYFUNCTION("""COMPUTED_VALUE"""),0.9518865740740741)</f>
        <v>0.9518865741</v>
      </c>
    </row>
    <row r="855">
      <c r="A855" s="2">
        <v>2.14</v>
      </c>
      <c r="B855" s="2">
        <v>231.5</v>
      </c>
      <c r="C855" s="2">
        <v>293.9</v>
      </c>
      <c r="D855" s="2">
        <v>6.4</v>
      </c>
      <c r="E855" s="2">
        <v>0.59</v>
      </c>
      <c r="F855" s="2">
        <v>49.9</v>
      </c>
      <c r="G855" s="3">
        <v>44462.95199287037</v>
      </c>
      <c r="H855" s="5">
        <f>IFERROR(__xludf.DUMMYFUNCTION("SPLIT(G855,"","")"),44462.0)</f>
        <v>44462</v>
      </c>
      <c r="I855" s="6">
        <f>IFERROR(__xludf.DUMMYFUNCTION("""COMPUTED_VALUE"""),0.9519907407407407)</f>
        <v>0.9519907407</v>
      </c>
    </row>
    <row r="856">
      <c r="A856" s="2">
        <v>2.09</v>
      </c>
      <c r="B856" s="2">
        <v>231.4</v>
      </c>
      <c r="C856" s="2">
        <v>287.1</v>
      </c>
      <c r="D856" s="2">
        <v>6.4</v>
      </c>
      <c r="E856" s="2">
        <v>0.59</v>
      </c>
      <c r="F856" s="2">
        <v>49.9</v>
      </c>
      <c r="G856" s="3">
        <v>44462.95210232639</v>
      </c>
      <c r="H856" s="5">
        <f>IFERROR(__xludf.DUMMYFUNCTION("SPLIT(G856,"","")"),44462.0)</f>
        <v>44462</v>
      </c>
      <c r="I856" s="6">
        <f>IFERROR(__xludf.DUMMYFUNCTION("""COMPUTED_VALUE"""),0.9521064814814815)</f>
        <v>0.9521064815</v>
      </c>
    </row>
    <row r="857">
      <c r="A857" s="2">
        <v>2.05</v>
      </c>
      <c r="B857" s="2">
        <v>231.4</v>
      </c>
      <c r="C857" s="2">
        <v>281.4</v>
      </c>
      <c r="D857" s="2">
        <v>6.4</v>
      </c>
      <c r="E857" s="2">
        <v>0.59</v>
      </c>
      <c r="F857" s="2">
        <v>49.9</v>
      </c>
      <c r="G857" s="3">
        <v>44462.952206875</v>
      </c>
      <c r="H857" s="5">
        <f>IFERROR(__xludf.DUMMYFUNCTION("SPLIT(G857,"","")"),44462.0)</f>
        <v>44462</v>
      </c>
      <c r="I857" s="6">
        <f>IFERROR(__xludf.DUMMYFUNCTION("""COMPUTED_VALUE"""),0.9522106481481482)</f>
        <v>0.9522106481</v>
      </c>
    </row>
    <row r="858">
      <c r="A858" s="2">
        <v>2.03</v>
      </c>
      <c r="B858" s="2">
        <v>231.4</v>
      </c>
      <c r="C858" s="2">
        <v>277.8</v>
      </c>
      <c r="D858" s="2">
        <v>6.4</v>
      </c>
      <c r="E858" s="2">
        <v>0.59</v>
      </c>
      <c r="F858" s="2">
        <v>49.9</v>
      </c>
      <c r="G858" s="3">
        <v>44462.95231472222</v>
      </c>
      <c r="H858" s="5">
        <f>IFERROR(__xludf.DUMMYFUNCTION("SPLIT(G858,"","")"),44462.0)</f>
        <v>44462</v>
      </c>
      <c r="I858" s="6">
        <f>IFERROR(__xludf.DUMMYFUNCTION("""COMPUTED_VALUE"""),0.9523148148148148)</f>
        <v>0.9523148148</v>
      </c>
    </row>
    <row r="859">
      <c r="A859" s="2">
        <v>2.03</v>
      </c>
      <c r="B859" s="2">
        <v>231.4</v>
      </c>
      <c r="C859" s="2">
        <v>277.6</v>
      </c>
      <c r="D859" s="2">
        <v>6.4</v>
      </c>
      <c r="E859" s="2">
        <v>0.59</v>
      </c>
      <c r="F859" s="2">
        <v>50.0</v>
      </c>
      <c r="G859" s="3">
        <v>44462.952418506946</v>
      </c>
      <c r="H859" s="5">
        <f>IFERROR(__xludf.DUMMYFUNCTION("SPLIT(G859,"","")"),44462.0)</f>
        <v>44462</v>
      </c>
      <c r="I859" s="6">
        <f>IFERROR(__xludf.DUMMYFUNCTION("""COMPUTED_VALUE"""),0.9524189814814815)</f>
        <v>0.9524189815</v>
      </c>
    </row>
    <row r="860">
      <c r="A860" s="2">
        <v>2.02</v>
      </c>
      <c r="B860" s="2">
        <v>231.4</v>
      </c>
      <c r="C860" s="2">
        <v>275.8</v>
      </c>
      <c r="D860" s="2">
        <v>6.4</v>
      </c>
      <c r="E860" s="2">
        <v>0.59</v>
      </c>
      <c r="F860" s="2">
        <v>50.0</v>
      </c>
      <c r="G860" s="3">
        <v>44462.95252443287</v>
      </c>
      <c r="H860" s="5">
        <f>IFERROR(__xludf.DUMMYFUNCTION("SPLIT(G860,"","")"),44462.0)</f>
        <v>44462</v>
      </c>
      <c r="I860" s="6">
        <f>IFERROR(__xludf.DUMMYFUNCTION("""COMPUTED_VALUE"""),0.9525231481481482)</f>
        <v>0.9525231481</v>
      </c>
    </row>
    <row r="861">
      <c r="A861" s="2">
        <v>1.99</v>
      </c>
      <c r="B861" s="2">
        <v>231.6</v>
      </c>
      <c r="C861" s="2">
        <v>272.1</v>
      </c>
      <c r="D861" s="2">
        <v>6.4</v>
      </c>
      <c r="E861" s="2">
        <v>0.59</v>
      </c>
      <c r="F861" s="2">
        <v>50.0</v>
      </c>
      <c r="G861" s="3">
        <v>44462.95263326389</v>
      </c>
      <c r="H861" s="5">
        <f>IFERROR(__xludf.DUMMYFUNCTION("SPLIT(G861,"","")"),44462.0)</f>
        <v>44462</v>
      </c>
      <c r="I861" s="6">
        <f>IFERROR(__xludf.DUMMYFUNCTION("""COMPUTED_VALUE"""),0.9526388888888889)</f>
        <v>0.9526388889</v>
      </c>
    </row>
    <row r="862">
      <c r="A862" s="2">
        <v>1.99</v>
      </c>
      <c r="B862" s="2">
        <v>231.6</v>
      </c>
      <c r="C862" s="2">
        <v>272.2</v>
      </c>
      <c r="D862" s="2">
        <v>6.4</v>
      </c>
      <c r="E862" s="2">
        <v>0.59</v>
      </c>
      <c r="F862" s="2">
        <v>50.0</v>
      </c>
      <c r="G862" s="3">
        <v>44462.95274483797</v>
      </c>
      <c r="H862" s="5">
        <f>IFERROR(__xludf.DUMMYFUNCTION("SPLIT(G862,"","")"),44462.0)</f>
        <v>44462</v>
      </c>
      <c r="I862" s="6">
        <f>IFERROR(__xludf.DUMMYFUNCTION("""COMPUTED_VALUE"""),0.9527430555555556)</f>
        <v>0.9527430556</v>
      </c>
    </row>
    <row r="863">
      <c r="A863" s="2">
        <v>1.99</v>
      </c>
      <c r="B863" s="2">
        <v>231.5</v>
      </c>
      <c r="C863" s="2">
        <v>272.2</v>
      </c>
      <c r="D863" s="2">
        <v>6.4</v>
      </c>
      <c r="E863" s="2">
        <v>0.59</v>
      </c>
      <c r="F863" s="2">
        <v>50.0</v>
      </c>
      <c r="G863" s="3">
        <v>44462.9528525</v>
      </c>
      <c r="H863" s="5">
        <f>IFERROR(__xludf.DUMMYFUNCTION("SPLIT(G863,"","")"),44462.0)</f>
        <v>44462</v>
      </c>
      <c r="I863" s="6">
        <f>IFERROR(__xludf.DUMMYFUNCTION("""COMPUTED_VALUE"""),0.9528472222222222)</f>
        <v>0.9528472222</v>
      </c>
    </row>
    <row r="864">
      <c r="A864" s="2">
        <v>2.0</v>
      </c>
      <c r="B864" s="2">
        <v>231.3</v>
      </c>
      <c r="C864" s="2">
        <v>272.2</v>
      </c>
      <c r="D864" s="2">
        <v>6.41</v>
      </c>
      <c r="E864" s="2">
        <v>0.59</v>
      </c>
      <c r="F864" s="2">
        <v>50.0</v>
      </c>
      <c r="G864" s="3">
        <v>44462.95295236111</v>
      </c>
      <c r="H864" s="5">
        <f>IFERROR(__xludf.DUMMYFUNCTION("SPLIT(G864,"","")"),44462.0)</f>
        <v>44462</v>
      </c>
      <c r="I864" s="6">
        <f>IFERROR(__xludf.DUMMYFUNCTION("""COMPUTED_VALUE"""),0.9529513888888889)</f>
        <v>0.9529513889</v>
      </c>
    </row>
    <row r="865">
      <c r="A865" s="2">
        <v>1.97</v>
      </c>
      <c r="B865" s="2">
        <v>231.3</v>
      </c>
      <c r="C865" s="2">
        <v>268.5</v>
      </c>
      <c r="D865" s="2">
        <v>6.41</v>
      </c>
      <c r="E865" s="2">
        <v>0.59</v>
      </c>
      <c r="F865" s="2">
        <v>50.0</v>
      </c>
      <c r="G865" s="3">
        <v>44462.95305471065</v>
      </c>
      <c r="H865" s="5">
        <f>IFERROR(__xludf.DUMMYFUNCTION("SPLIT(G865,"","")"),44462.0)</f>
        <v>44462</v>
      </c>
      <c r="I865" s="6">
        <f>IFERROR(__xludf.DUMMYFUNCTION("""COMPUTED_VALUE"""),0.9530555555555555)</f>
        <v>0.9530555556</v>
      </c>
    </row>
    <row r="866">
      <c r="A866" s="2">
        <v>1.96</v>
      </c>
      <c r="B866" s="2">
        <v>231.1</v>
      </c>
      <c r="C866" s="2">
        <v>266.8</v>
      </c>
      <c r="D866" s="2">
        <v>6.41</v>
      </c>
      <c r="E866" s="2">
        <v>0.59</v>
      </c>
      <c r="F866" s="2">
        <v>49.9</v>
      </c>
      <c r="G866" s="3">
        <v>44462.953156261574</v>
      </c>
      <c r="H866" s="5">
        <f>IFERROR(__xludf.DUMMYFUNCTION("SPLIT(G866,"","")"),44462.0)</f>
        <v>44462</v>
      </c>
      <c r="I866" s="6">
        <f>IFERROR(__xludf.DUMMYFUNCTION("""COMPUTED_VALUE"""),0.9531597222222222)</f>
        <v>0.9531597222</v>
      </c>
    </row>
    <row r="867">
      <c r="A867" s="2">
        <v>1.95</v>
      </c>
      <c r="B867" s="2">
        <v>231.2</v>
      </c>
      <c r="C867" s="2">
        <v>264.9</v>
      </c>
      <c r="D867" s="2">
        <v>6.41</v>
      </c>
      <c r="E867" s="2">
        <v>0.59</v>
      </c>
      <c r="F867" s="2">
        <v>49.9</v>
      </c>
      <c r="G867" s="3">
        <v>44462.95325489584</v>
      </c>
      <c r="H867" s="5">
        <f>IFERROR(__xludf.DUMMYFUNCTION("SPLIT(G867,"","")"),44462.0)</f>
        <v>44462</v>
      </c>
      <c r="I867" s="6">
        <f>IFERROR(__xludf.DUMMYFUNCTION("""COMPUTED_VALUE"""),0.9532523148148148)</f>
        <v>0.9532523148</v>
      </c>
    </row>
    <row r="868">
      <c r="A868" s="2">
        <v>1.93</v>
      </c>
      <c r="B868" s="2">
        <v>231.1</v>
      </c>
      <c r="C868" s="2">
        <v>263.0</v>
      </c>
      <c r="D868" s="2">
        <v>6.41</v>
      </c>
      <c r="E868" s="2">
        <v>0.59</v>
      </c>
      <c r="F868" s="2">
        <v>50.0</v>
      </c>
      <c r="G868" s="3">
        <v>44462.95335645833</v>
      </c>
      <c r="H868" s="5">
        <f>IFERROR(__xludf.DUMMYFUNCTION("SPLIT(G868,"","")"),44462.0)</f>
        <v>44462</v>
      </c>
      <c r="I868" s="6">
        <f>IFERROR(__xludf.DUMMYFUNCTION("""COMPUTED_VALUE"""),0.9533564814814814)</f>
        <v>0.9533564815</v>
      </c>
    </row>
    <row r="869">
      <c r="A869" s="2">
        <v>1.91</v>
      </c>
      <c r="B869" s="2">
        <v>231.2</v>
      </c>
      <c r="C869" s="2">
        <v>259.4</v>
      </c>
      <c r="D869" s="2">
        <v>6.41</v>
      </c>
      <c r="E869" s="2">
        <v>0.59</v>
      </c>
      <c r="F869" s="2">
        <v>50.0</v>
      </c>
      <c r="G869" s="3">
        <v>44462.95345797454</v>
      </c>
      <c r="H869" s="5">
        <f>IFERROR(__xludf.DUMMYFUNCTION("SPLIT(G869,"","")"),44462.0)</f>
        <v>44462</v>
      </c>
      <c r="I869" s="6">
        <f>IFERROR(__xludf.DUMMYFUNCTION("""COMPUTED_VALUE"""),0.9534606481481481)</f>
        <v>0.9534606481</v>
      </c>
    </row>
    <row r="870">
      <c r="A870" s="2">
        <v>1.88</v>
      </c>
      <c r="B870" s="2">
        <v>231.2</v>
      </c>
      <c r="C870" s="2">
        <v>255.6</v>
      </c>
      <c r="D870" s="2">
        <v>6.41</v>
      </c>
      <c r="E870" s="2">
        <v>0.59</v>
      </c>
      <c r="F870" s="2">
        <v>50.0</v>
      </c>
      <c r="G870" s="3">
        <v>44462.95356216435</v>
      </c>
      <c r="H870" s="5">
        <f>IFERROR(__xludf.DUMMYFUNCTION("SPLIT(G870,"","")"),44462.0)</f>
        <v>44462</v>
      </c>
      <c r="I870" s="6">
        <f>IFERROR(__xludf.DUMMYFUNCTION("""COMPUTED_VALUE"""),0.9535648148148148)</f>
        <v>0.9535648148</v>
      </c>
    </row>
    <row r="871">
      <c r="A871" s="2">
        <v>1.87</v>
      </c>
      <c r="B871" s="2">
        <v>231.3</v>
      </c>
      <c r="C871" s="2">
        <v>253.8</v>
      </c>
      <c r="D871" s="2">
        <v>6.41</v>
      </c>
      <c r="E871" s="2">
        <v>0.59</v>
      </c>
      <c r="F871" s="2">
        <v>49.9</v>
      </c>
      <c r="G871" s="3">
        <v>44462.95366400463</v>
      </c>
      <c r="H871" s="5">
        <f>IFERROR(__xludf.DUMMYFUNCTION("SPLIT(G871,"","")"),44462.0)</f>
        <v>44462</v>
      </c>
      <c r="I871" s="6">
        <f>IFERROR(__xludf.DUMMYFUNCTION("""COMPUTED_VALUE"""),0.9536689814814815)</f>
        <v>0.9536689815</v>
      </c>
    </row>
    <row r="872">
      <c r="A872" s="2">
        <v>1.87</v>
      </c>
      <c r="B872" s="2">
        <v>231.3</v>
      </c>
      <c r="C872" s="2">
        <v>253.8</v>
      </c>
      <c r="D872" s="2">
        <v>6.41</v>
      </c>
      <c r="E872" s="2">
        <v>0.59</v>
      </c>
      <c r="F872" s="2">
        <v>49.9</v>
      </c>
      <c r="G872" s="3">
        <v>44462.95379400463</v>
      </c>
      <c r="H872" s="5">
        <f>IFERROR(__xludf.DUMMYFUNCTION("SPLIT(G872,"","")"),44462.0)</f>
        <v>44462</v>
      </c>
      <c r="I872" s="6">
        <f>IFERROR(__xludf.DUMMYFUNCTION("""COMPUTED_VALUE"""),0.9537962962962963)</f>
        <v>0.9537962963</v>
      </c>
    </row>
    <row r="873">
      <c r="A873" s="2">
        <v>1.85</v>
      </c>
      <c r="B873" s="2">
        <v>231.2</v>
      </c>
      <c r="C873" s="2">
        <v>250.4</v>
      </c>
      <c r="D873" s="2">
        <v>6.41</v>
      </c>
      <c r="E873" s="2">
        <v>0.59</v>
      </c>
      <c r="F873" s="2">
        <v>49.9</v>
      </c>
      <c r="G873" s="3">
        <v>44462.95389800926</v>
      </c>
      <c r="H873" s="5">
        <f>IFERROR(__xludf.DUMMYFUNCTION("SPLIT(G873,"","")"),44462.0)</f>
        <v>44462</v>
      </c>
      <c r="I873" s="6">
        <f>IFERROR(__xludf.DUMMYFUNCTION("""COMPUTED_VALUE"""),0.9539004629629629)</f>
        <v>0.953900463</v>
      </c>
    </row>
    <row r="874">
      <c r="A874" s="2">
        <v>1.85</v>
      </c>
      <c r="B874" s="2">
        <v>231.1</v>
      </c>
      <c r="C874" s="2">
        <v>250.2</v>
      </c>
      <c r="D874" s="2">
        <v>6.41</v>
      </c>
      <c r="E874" s="2">
        <v>0.59</v>
      </c>
      <c r="F874" s="2">
        <v>49.9</v>
      </c>
      <c r="G874" s="3">
        <v>44462.95400423611</v>
      </c>
      <c r="H874" s="5">
        <f>IFERROR(__xludf.DUMMYFUNCTION("SPLIT(G874,"","")"),44462.0)</f>
        <v>44462</v>
      </c>
      <c r="I874" s="6">
        <f>IFERROR(__xludf.DUMMYFUNCTION("""COMPUTED_VALUE"""),0.9540046296296296)</f>
        <v>0.9540046296</v>
      </c>
    </row>
    <row r="875">
      <c r="A875" s="2">
        <v>1.83</v>
      </c>
      <c r="B875" s="2">
        <v>231.1</v>
      </c>
      <c r="C875" s="2">
        <v>246.5</v>
      </c>
      <c r="D875" s="2">
        <v>6.41</v>
      </c>
      <c r="E875" s="2">
        <v>0.58</v>
      </c>
      <c r="F875" s="2">
        <v>49.9</v>
      </c>
      <c r="G875" s="3">
        <v>44462.95411361111</v>
      </c>
      <c r="H875" s="5">
        <f>IFERROR(__xludf.DUMMYFUNCTION("SPLIT(G875,"","")"),44462.0)</f>
        <v>44462</v>
      </c>
      <c r="I875" s="6">
        <f>IFERROR(__xludf.DUMMYFUNCTION("""COMPUTED_VALUE"""),0.9541087962962963)</f>
        <v>0.9541087963</v>
      </c>
    </row>
    <row r="876">
      <c r="A876" s="2">
        <v>1.82</v>
      </c>
      <c r="B876" s="2">
        <v>231.2</v>
      </c>
      <c r="C876" s="2">
        <v>245.6</v>
      </c>
      <c r="D876" s="2">
        <v>6.41</v>
      </c>
      <c r="E876" s="2">
        <v>0.58</v>
      </c>
      <c r="F876" s="2">
        <v>49.9</v>
      </c>
      <c r="G876" s="3">
        <v>44462.95421913195</v>
      </c>
      <c r="H876" s="5">
        <f>IFERROR(__xludf.DUMMYFUNCTION("SPLIT(G876,"","")"),44462.0)</f>
        <v>44462</v>
      </c>
      <c r="I876" s="6">
        <f>IFERROR(__xludf.DUMMYFUNCTION("""COMPUTED_VALUE"""),0.954224537037037)</f>
        <v>0.954224537</v>
      </c>
    </row>
    <row r="877">
      <c r="A877" s="2">
        <v>1.78</v>
      </c>
      <c r="B877" s="2">
        <v>231.2</v>
      </c>
      <c r="C877" s="2">
        <v>240.9</v>
      </c>
      <c r="D877" s="2">
        <v>6.41</v>
      </c>
      <c r="E877" s="2">
        <v>0.58</v>
      </c>
      <c r="F877" s="2">
        <v>49.9</v>
      </c>
      <c r="G877" s="3">
        <v>44462.95432989583</v>
      </c>
      <c r="H877" s="5">
        <f>IFERROR(__xludf.DUMMYFUNCTION("SPLIT(G877,"","")"),44462.0)</f>
        <v>44462</v>
      </c>
      <c r="I877" s="6">
        <f>IFERROR(__xludf.DUMMYFUNCTION("""COMPUTED_VALUE"""),0.9543287037037037)</f>
        <v>0.9543287037</v>
      </c>
    </row>
    <row r="878">
      <c r="A878" s="2">
        <v>1.73</v>
      </c>
      <c r="B878" s="2">
        <v>231.2</v>
      </c>
      <c r="C878" s="2">
        <v>233.5</v>
      </c>
      <c r="D878" s="2">
        <v>6.41</v>
      </c>
      <c r="E878" s="2">
        <v>0.58</v>
      </c>
      <c r="F878" s="2">
        <v>50.0</v>
      </c>
      <c r="G878" s="3">
        <v>44462.954583136576</v>
      </c>
      <c r="H878" s="5">
        <f>IFERROR(__xludf.DUMMYFUNCTION("SPLIT(G878,"","")"),44462.0)</f>
        <v>44462</v>
      </c>
      <c r="I878" s="6">
        <f>IFERROR(__xludf.DUMMYFUNCTION("""COMPUTED_VALUE"""),0.9545833333333333)</f>
        <v>0.9545833333</v>
      </c>
    </row>
    <row r="879">
      <c r="A879" s="2">
        <v>1.72</v>
      </c>
      <c r="B879" s="2">
        <v>231.2</v>
      </c>
      <c r="C879" s="2">
        <v>231.7</v>
      </c>
      <c r="D879" s="2">
        <v>6.41</v>
      </c>
      <c r="E879" s="2">
        <v>0.58</v>
      </c>
      <c r="F879" s="2">
        <v>49.9</v>
      </c>
      <c r="G879" s="3">
        <v>44462.95468972222</v>
      </c>
      <c r="H879" s="5">
        <f>IFERROR(__xludf.DUMMYFUNCTION("SPLIT(G879,"","")"),44462.0)</f>
        <v>44462</v>
      </c>
      <c r="I879" s="6">
        <f>IFERROR(__xludf.DUMMYFUNCTION("""COMPUTED_VALUE"""),0.9546875)</f>
        <v>0.9546875</v>
      </c>
    </row>
    <row r="880">
      <c r="A880" s="2">
        <v>1.7</v>
      </c>
      <c r="B880" s="2">
        <v>231.2</v>
      </c>
      <c r="C880" s="2">
        <v>229.9</v>
      </c>
      <c r="D880" s="2">
        <v>6.42</v>
      </c>
      <c r="E880" s="2">
        <v>0.58</v>
      </c>
      <c r="F880" s="2">
        <v>49.9</v>
      </c>
      <c r="G880" s="3">
        <v>44462.95479476852</v>
      </c>
      <c r="H880" s="5">
        <f>IFERROR(__xludf.DUMMYFUNCTION("SPLIT(G880,"","")"),44462.0)</f>
        <v>44462</v>
      </c>
      <c r="I880" s="6">
        <f>IFERROR(__xludf.DUMMYFUNCTION("""COMPUTED_VALUE"""),0.9547916666666667)</f>
        <v>0.9547916667</v>
      </c>
    </row>
    <row r="881">
      <c r="A881" s="2">
        <v>1.69</v>
      </c>
      <c r="B881" s="2">
        <v>231.4</v>
      </c>
      <c r="C881" s="2">
        <v>228.8</v>
      </c>
      <c r="D881" s="2">
        <v>6.42</v>
      </c>
      <c r="E881" s="2">
        <v>0.58</v>
      </c>
      <c r="F881" s="2">
        <v>50.0</v>
      </c>
      <c r="G881" s="3">
        <v>44462.95490025463</v>
      </c>
      <c r="H881" s="5">
        <f>IFERROR(__xludf.DUMMYFUNCTION("SPLIT(G881,"","")"),44462.0)</f>
        <v>44462</v>
      </c>
      <c r="I881" s="6">
        <f>IFERROR(__xludf.DUMMYFUNCTION("""COMPUTED_VALUE"""),0.9548958333333334)</f>
        <v>0.9548958333</v>
      </c>
    </row>
    <row r="882">
      <c r="A882" s="2">
        <v>1.69</v>
      </c>
      <c r="B882" s="2">
        <v>231.3</v>
      </c>
      <c r="C882" s="2">
        <v>228.0</v>
      </c>
      <c r="D882" s="2">
        <v>6.42</v>
      </c>
      <c r="E882" s="2">
        <v>0.58</v>
      </c>
      <c r="F882" s="2">
        <v>50.0</v>
      </c>
      <c r="G882" s="3">
        <v>44462.95500554398</v>
      </c>
      <c r="H882" s="5">
        <f>IFERROR(__xludf.DUMMYFUNCTION("SPLIT(G882,"","")"),44462.0)</f>
        <v>44462</v>
      </c>
      <c r="I882" s="6">
        <f>IFERROR(__xludf.DUMMYFUNCTION("""COMPUTED_VALUE"""),0.955)</f>
        <v>0.955</v>
      </c>
    </row>
    <row r="883">
      <c r="A883" s="2">
        <v>1.69</v>
      </c>
      <c r="B883" s="2">
        <v>231.4</v>
      </c>
      <c r="C883" s="2">
        <v>228.0</v>
      </c>
      <c r="D883" s="2">
        <v>6.42</v>
      </c>
      <c r="E883" s="2">
        <v>0.58</v>
      </c>
      <c r="F883" s="2">
        <v>50.0</v>
      </c>
      <c r="G883" s="3">
        <v>44462.95510608796</v>
      </c>
      <c r="H883" s="5">
        <f>IFERROR(__xludf.DUMMYFUNCTION("SPLIT(G883,"","")"),44462.0)</f>
        <v>44462</v>
      </c>
      <c r="I883" s="6">
        <f>IFERROR(__xludf.DUMMYFUNCTION("""COMPUTED_VALUE"""),0.9551041666666666)</f>
        <v>0.9551041667</v>
      </c>
    </row>
    <row r="884">
      <c r="A884" s="2">
        <v>1.69</v>
      </c>
      <c r="B884" s="2">
        <v>231.6</v>
      </c>
      <c r="C884" s="2">
        <v>228.1</v>
      </c>
      <c r="D884" s="2">
        <v>6.42</v>
      </c>
      <c r="E884" s="2">
        <v>0.58</v>
      </c>
      <c r="F884" s="2">
        <v>50.0</v>
      </c>
      <c r="G884" s="3">
        <v>44462.955207245366</v>
      </c>
      <c r="H884" s="5">
        <f>IFERROR(__xludf.DUMMYFUNCTION("SPLIT(G884,"","")"),44462.0)</f>
        <v>44462</v>
      </c>
      <c r="I884" s="6">
        <f>IFERROR(__xludf.DUMMYFUNCTION("""COMPUTED_VALUE"""),0.9552083333333333)</f>
        <v>0.9552083333</v>
      </c>
    </row>
    <row r="885">
      <c r="A885" s="2">
        <v>1.68</v>
      </c>
      <c r="B885" s="2">
        <v>231.8</v>
      </c>
      <c r="C885" s="2">
        <v>227.2</v>
      </c>
      <c r="D885" s="2">
        <v>6.42</v>
      </c>
      <c r="E885" s="2">
        <v>0.58</v>
      </c>
      <c r="F885" s="2">
        <v>50.0</v>
      </c>
      <c r="G885" s="3">
        <v>44462.9553096875</v>
      </c>
      <c r="H885" s="5">
        <f>IFERROR(__xludf.DUMMYFUNCTION("SPLIT(G885,"","")"),44462.0)</f>
        <v>44462</v>
      </c>
      <c r="I885" s="6">
        <f>IFERROR(__xludf.DUMMYFUNCTION("""COMPUTED_VALUE"""),0.9553125)</f>
        <v>0.9553125</v>
      </c>
    </row>
    <row r="886">
      <c r="A886" s="2">
        <v>1.62</v>
      </c>
      <c r="B886" s="2">
        <v>232.0</v>
      </c>
      <c r="C886" s="2">
        <v>218.9</v>
      </c>
      <c r="D886" s="2">
        <v>6.42</v>
      </c>
      <c r="E886" s="2">
        <v>0.58</v>
      </c>
      <c r="F886" s="2">
        <v>50.0</v>
      </c>
      <c r="G886" s="3">
        <v>44462.95541686343</v>
      </c>
      <c r="H886" s="5">
        <f>IFERROR(__xludf.DUMMYFUNCTION("SPLIT(G886,"","")"),44462.0)</f>
        <v>44462</v>
      </c>
      <c r="I886" s="6">
        <f>IFERROR(__xludf.DUMMYFUNCTION("""COMPUTED_VALUE"""),0.9554166666666667)</f>
        <v>0.9554166667</v>
      </c>
    </row>
    <row r="887">
      <c r="A887" s="2">
        <v>1.59</v>
      </c>
      <c r="B887" s="2">
        <v>232.0</v>
      </c>
      <c r="C887" s="2">
        <v>215.2</v>
      </c>
      <c r="D887" s="2">
        <v>6.42</v>
      </c>
      <c r="E887" s="2">
        <v>0.58</v>
      </c>
      <c r="F887" s="2">
        <v>50.0</v>
      </c>
      <c r="G887" s="3">
        <v>44462.95552377315</v>
      </c>
      <c r="H887" s="5">
        <f>IFERROR(__xludf.DUMMYFUNCTION("SPLIT(G887,"","")"),44462.0)</f>
        <v>44462</v>
      </c>
      <c r="I887" s="6">
        <f>IFERROR(__xludf.DUMMYFUNCTION("""COMPUTED_VALUE"""),0.9555208333333334)</f>
        <v>0.9555208333</v>
      </c>
    </row>
    <row r="888">
      <c r="A888" s="2">
        <v>1.59</v>
      </c>
      <c r="B888" s="2">
        <v>232.0</v>
      </c>
      <c r="C888" s="2">
        <v>215.1</v>
      </c>
      <c r="D888" s="2">
        <v>6.42</v>
      </c>
      <c r="E888" s="2">
        <v>0.58</v>
      </c>
      <c r="F888" s="2">
        <v>50.0</v>
      </c>
      <c r="G888" s="3">
        <v>44462.955622546295</v>
      </c>
      <c r="H888" s="5">
        <f>IFERROR(__xludf.DUMMYFUNCTION("SPLIT(G888,"","")"),44462.0)</f>
        <v>44462</v>
      </c>
      <c r="I888" s="6">
        <f>IFERROR(__xludf.DUMMYFUNCTION("""COMPUTED_VALUE"""),0.955625)</f>
        <v>0.955625</v>
      </c>
    </row>
    <row r="889">
      <c r="A889" s="2">
        <v>1.6</v>
      </c>
      <c r="B889" s="2">
        <v>231.8</v>
      </c>
      <c r="C889" s="2">
        <v>215.2</v>
      </c>
      <c r="D889" s="2">
        <v>6.42</v>
      </c>
      <c r="E889" s="2">
        <v>0.58</v>
      </c>
      <c r="F889" s="2">
        <v>50.0</v>
      </c>
      <c r="G889" s="3">
        <v>44462.95572488426</v>
      </c>
      <c r="H889" s="5">
        <f>IFERROR(__xludf.DUMMYFUNCTION("SPLIT(G889,"","")"),44462.0)</f>
        <v>44462</v>
      </c>
      <c r="I889" s="6">
        <f>IFERROR(__xludf.DUMMYFUNCTION("""COMPUTED_VALUE"""),0.9557291666666666)</f>
        <v>0.9557291667</v>
      </c>
    </row>
    <row r="890">
      <c r="A890" s="2">
        <v>1.6</v>
      </c>
      <c r="B890" s="2">
        <v>231.7</v>
      </c>
      <c r="C890" s="2">
        <v>215.2</v>
      </c>
      <c r="D890" s="2">
        <v>6.42</v>
      </c>
      <c r="E890" s="2">
        <v>0.58</v>
      </c>
      <c r="F890" s="2">
        <v>49.9</v>
      </c>
      <c r="G890" s="3">
        <v>44462.95582695602</v>
      </c>
      <c r="H890" s="5">
        <f>IFERROR(__xludf.DUMMYFUNCTION("SPLIT(G890,"","")"),44462.0)</f>
        <v>44462</v>
      </c>
      <c r="I890" s="6">
        <f>IFERROR(__xludf.DUMMYFUNCTION("""COMPUTED_VALUE"""),0.9558217592592593)</f>
        <v>0.9558217593</v>
      </c>
    </row>
    <row r="891">
      <c r="A891" s="2">
        <v>1.57</v>
      </c>
      <c r="B891" s="2">
        <v>231.7</v>
      </c>
      <c r="C891" s="2">
        <v>211.8</v>
      </c>
      <c r="D891" s="2">
        <v>6.42</v>
      </c>
      <c r="E891" s="2">
        <v>0.58</v>
      </c>
      <c r="F891" s="2">
        <v>49.9</v>
      </c>
      <c r="G891" s="3">
        <v>44462.956064756945</v>
      </c>
      <c r="H891" s="5">
        <f>IFERROR(__xludf.DUMMYFUNCTION("SPLIT(G891,"","")"),44462.0)</f>
        <v>44462</v>
      </c>
      <c r="I891" s="6">
        <f>IFERROR(__xludf.DUMMYFUNCTION("""COMPUTED_VALUE"""),0.9560648148148149)</f>
        <v>0.9560648148</v>
      </c>
    </row>
    <row r="892">
      <c r="A892" s="2">
        <v>1.56</v>
      </c>
      <c r="B892" s="2">
        <v>231.6</v>
      </c>
      <c r="C892" s="2">
        <v>209.7</v>
      </c>
      <c r="D892" s="2">
        <v>6.42</v>
      </c>
      <c r="E892" s="2">
        <v>0.58</v>
      </c>
      <c r="F892" s="2">
        <v>50.0</v>
      </c>
      <c r="G892" s="3">
        <v>44462.95617820602</v>
      </c>
      <c r="H892" s="5">
        <f>IFERROR(__xludf.DUMMYFUNCTION("SPLIT(G892,"","")"),44462.0)</f>
        <v>44462</v>
      </c>
      <c r="I892" s="6">
        <f>IFERROR(__xludf.DUMMYFUNCTION("""COMPUTED_VALUE"""),0.9561805555555556)</f>
        <v>0.9561805556</v>
      </c>
    </row>
    <row r="893">
      <c r="A893" s="2">
        <v>1.56</v>
      </c>
      <c r="B893" s="2">
        <v>231.6</v>
      </c>
      <c r="C893" s="2">
        <v>209.7</v>
      </c>
      <c r="D893" s="2">
        <v>6.42</v>
      </c>
      <c r="E893" s="2">
        <v>0.58</v>
      </c>
      <c r="F893" s="2">
        <v>50.0</v>
      </c>
      <c r="G893" s="3">
        <v>44462.956278032405</v>
      </c>
      <c r="H893" s="5">
        <f>IFERROR(__xludf.DUMMYFUNCTION("SPLIT(G893,"","")"),44462.0)</f>
        <v>44462</v>
      </c>
      <c r="I893" s="6">
        <f>IFERROR(__xludf.DUMMYFUNCTION("""COMPUTED_VALUE"""),0.9562731481481481)</f>
        <v>0.9562731481</v>
      </c>
    </row>
    <row r="894">
      <c r="A894" s="2">
        <v>1.54</v>
      </c>
      <c r="B894" s="2">
        <v>231.6</v>
      </c>
      <c r="C894" s="2">
        <v>207.9</v>
      </c>
      <c r="D894" s="2">
        <v>6.42</v>
      </c>
      <c r="E894" s="2">
        <v>0.58</v>
      </c>
      <c r="F894" s="2">
        <v>49.9</v>
      </c>
      <c r="G894" s="3">
        <v>44462.95638429398</v>
      </c>
      <c r="H894" s="5">
        <f>IFERROR(__xludf.DUMMYFUNCTION("SPLIT(G894,"","")"),44462.0)</f>
        <v>44462</v>
      </c>
      <c r="I894" s="6">
        <f>IFERROR(__xludf.DUMMYFUNCTION("""COMPUTED_VALUE"""),0.9563888888888888)</f>
        <v>0.9563888889</v>
      </c>
    </row>
    <row r="895">
      <c r="A895" s="2">
        <v>1.52</v>
      </c>
      <c r="B895" s="2">
        <v>231.7</v>
      </c>
      <c r="C895" s="2">
        <v>204.2</v>
      </c>
      <c r="D895" s="2">
        <v>6.42</v>
      </c>
      <c r="E895" s="2">
        <v>0.58</v>
      </c>
      <c r="F895" s="2">
        <v>49.9</v>
      </c>
      <c r="G895" s="3">
        <v>44462.956490185185</v>
      </c>
      <c r="H895" s="5">
        <f>IFERROR(__xludf.DUMMYFUNCTION("SPLIT(G895,"","")"),44462.0)</f>
        <v>44462</v>
      </c>
      <c r="I895" s="6">
        <f>IFERROR(__xludf.DUMMYFUNCTION("""COMPUTED_VALUE"""),0.9564930555555555)</f>
        <v>0.9564930556</v>
      </c>
    </row>
    <row r="896">
      <c r="A896" s="2">
        <v>1.51</v>
      </c>
      <c r="B896" s="2">
        <v>231.7</v>
      </c>
      <c r="C896" s="2">
        <v>204.2</v>
      </c>
      <c r="D896" s="2">
        <v>6.43</v>
      </c>
      <c r="E896" s="2">
        <v>0.58</v>
      </c>
      <c r="F896" s="2">
        <v>49.9</v>
      </c>
      <c r="G896" s="3">
        <v>44462.95659645833</v>
      </c>
      <c r="H896" s="5">
        <f>IFERROR(__xludf.DUMMYFUNCTION("SPLIT(G896,"","")"),44462.0)</f>
        <v>44462</v>
      </c>
      <c r="I896" s="6">
        <f>IFERROR(__xludf.DUMMYFUNCTION("""COMPUTED_VALUE"""),0.9565972222222222)</f>
        <v>0.9565972222</v>
      </c>
    </row>
    <row r="897">
      <c r="A897" s="2">
        <v>1.51</v>
      </c>
      <c r="B897" s="2">
        <v>231.6</v>
      </c>
      <c r="C897" s="2">
        <v>202.3</v>
      </c>
      <c r="D897" s="2">
        <v>6.43</v>
      </c>
      <c r="E897" s="2">
        <v>0.58</v>
      </c>
      <c r="F897" s="2">
        <v>50.0</v>
      </c>
      <c r="G897" s="3">
        <v>44462.95670081019</v>
      </c>
      <c r="H897" s="5">
        <f>IFERROR(__xludf.DUMMYFUNCTION("SPLIT(G897,"","")"),44462.0)</f>
        <v>44462</v>
      </c>
      <c r="I897" s="6">
        <f>IFERROR(__xludf.DUMMYFUNCTION("""COMPUTED_VALUE"""),0.9567013888888889)</f>
        <v>0.9567013889</v>
      </c>
    </row>
    <row r="898">
      <c r="A898" s="2">
        <v>1.48</v>
      </c>
      <c r="B898" s="2">
        <v>231.7</v>
      </c>
      <c r="C898" s="2">
        <v>198.7</v>
      </c>
      <c r="D898" s="2">
        <v>6.43</v>
      </c>
      <c r="E898" s="2">
        <v>0.58</v>
      </c>
      <c r="F898" s="2">
        <v>49.9</v>
      </c>
      <c r="G898" s="3">
        <v>44462.95680612269</v>
      </c>
      <c r="H898" s="5">
        <f>IFERROR(__xludf.DUMMYFUNCTION("SPLIT(G898,"","")"),44462.0)</f>
        <v>44462</v>
      </c>
      <c r="I898" s="6">
        <f>IFERROR(__xludf.DUMMYFUNCTION("""COMPUTED_VALUE"""),0.9568055555555556)</f>
        <v>0.9568055556</v>
      </c>
    </row>
    <row r="899">
      <c r="A899" s="2">
        <v>1.47</v>
      </c>
      <c r="B899" s="2">
        <v>231.7</v>
      </c>
      <c r="C899" s="2">
        <v>196.8</v>
      </c>
      <c r="D899" s="2">
        <v>6.43</v>
      </c>
      <c r="E899" s="2">
        <v>0.58</v>
      </c>
      <c r="F899" s="2">
        <v>49.9</v>
      </c>
      <c r="G899" s="3">
        <v>44462.95691469907</v>
      </c>
      <c r="H899" s="5">
        <f>IFERROR(__xludf.DUMMYFUNCTION("SPLIT(G899,"","")"),44462.0)</f>
        <v>44462</v>
      </c>
      <c r="I899" s="6">
        <f>IFERROR(__xludf.DUMMYFUNCTION("""COMPUTED_VALUE"""),0.9569097222222223)</f>
        <v>0.9569097222</v>
      </c>
    </row>
    <row r="900">
      <c r="A900" s="2">
        <v>1.45</v>
      </c>
      <c r="B900" s="2">
        <v>231.7</v>
      </c>
      <c r="C900" s="2">
        <v>195.0</v>
      </c>
      <c r="D900" s="2">
        <v>6.43</v>
      </c>
      <c r="E900" s="2">
        <v>0.58</v>
      </c>
      <c r="F900" s="2">
        <v>50.0</v>
      </c>
      <c r="G900" s="3">
        <v>44462.95701747685</v>
      </c>
      <c r="H900" s="5">
        <f>IFERROR(__xludf.DUMMYFUNCTION("SPLIT(G900,"","")"),44462.0)</f>
        <v>44462</v>
      </c>
      <c r="I900" s="6">
        <f>IFERROR(__xludf.DUMMYFUNCTION("""COMPUTED_VALUE"""),0.9570138888888889)</f>
        <v>0.9570138889</v>
      </c>
    </row>
    <row r="901">
      <c r="A901" s="2">
        <v>1.45</v>
      </c>
      <c r="B901" s="2">
        <v>231.8</v>
      </c>
      <c r="C901" s="2">
        <v>195.0</v>
      </c>
      <c r="D901" s="2">
        <v>6.43</v>
      </c>
      <c r="E901" s="2">
        <v>0.58</v>
      </c>
      <c r="F901" s="2">
        <v>50.0</v>
      </c>
      <c r="G901" s="3">
        <v>44462.95711758102</v>
      </c>
      <c r="H901" s="5">
        <f>IFERROR(__xludf.DUMMYFUNCTION("SPLIT(G901,"","")"),44462.0)</f>
        <v>44462</v>
      </c>
      <c r="I901" s="6">
        <f>IFERROR(__xludf.DUMMYFUNCTION("""COMPUTED_VALUE"""),0.9571180555555555)</f>
        <v>0.9571180556</v>
      </c>
    </row>
    <row r="902">
      <c r="A902" s="2">
        <v>1.43</v>
      </c>
      <c r="B902" s="2">
        <v>231.8</v>
      </c>
      <c r="C902" s="2">
        <v>191.4</v>
      </c>
      <c r="D902" s="2">
        <v>6.43</v>
      </c>
      <c r="E902" s="2">
        <v>0.58</v>
      </c>
      <c r="F902" s="2">
        <v>50.0</v>
      </c>
      <c r="G902" s="3">
        <v>44462.957220625</v>
      </c>
      <c r="H902" s="5">
        <f>IFERROR(__xludf.DUMMYFUNCTION("SPLIT(G902,"","")"),44462.0)</f>
        <v>44462</v>
      </c>
      <c r="I902" s="6">
        <f>IFERROR(__xludf.DUMMYFUNCTION("""COMPUTED_VALUE"""),0.9572222222222222)</f>
        <v>0.9572222222</v>
      </c>
    </row>
    <row r="903">
      <c r="A903" s="2">
        <v>1.41</v>
      </c>
      <c r="B903" s="2">
        <v>231.9</v>
      </c>
      <c r="C903" s="2">
        <v>189.5</v>
      </c>
      <c r="D903" s="2">
        <v>6.43</v>
      </c>
      <c r="E903" s="2">
        <v>0.58</v>
      </c>
      <c r="F903" s="2">
        <v>50.0</v>
      </c>
      <c r="G903" s="3">
        <v>44462.95733523148</v>
      </c>
      <c r="H903" s="5">
        <f>IFERROR(__xludf.DUMMYFUNCTION("SPLIT(G903,"","")"),44462.0)</f>
        <v>44462</v>
      </c>
      <c r="I903" s="6">
        <f>IFERROR(__xludf.DUMMYFUNCTION("""COMPUTED_VALUE"""),0.9573379629629629)</f>
        <v>0.957337963</v>
      </c>
    </row>
    <row r="904">
      <c r="A904" s="2">
        <v>1.4</v>
      </c>
      <c r="B904" s="2">
        <v>231.9</v>
      </c>
      <c r="C904" s="2">
        <v>187.6</v>
      </c>
      <c r="D904" s="2">
        <v>6.43</v>
      </c>
      <c r="E904" s="2">
        <v>0.58</v>
      </c>
      <c r="F904" s="2">
        <v>50.0</v>
      </c>
      <c r="G904" s="3">
        <v>44462.957443252315</v>
      </c>
      <c r="H904" s="5">
        <f>IFERROR(__xludf.DUMMYFUNCTION("SPLIT(G904,"","")"),44462.0)</f>
        <v>44462</v>
      </c>
      <c r="I904" s="6">
        <f>IFERROR(__xludf.DUMMYFUNCTION("""COMPUTED_VALUE"""),0.9574421296296296)</f>
        <v>0.9574421296</v>
      </c>
    </row>
    <row r="905">
      <c r="A905" s="2">
        <v>1.4</v>
      </c>
      <c r="B905" s="2">
        <v>231.9</v>
      </c>
      <c r="C905" s="2">
        <v>187.6</v>
      </c>
      <c r="D905" s="2">
        <v>6.43</v>
      </c>
      <c r="E905" s="2">
        <v>0.58</v>
      </c>
      <c r="F905" s="2">
        <v>50.0</v>
      </c>
      <c r="G905" s="3">
        <v>44462.95758109954</v>
      </c>
      <c r="H905" s="5">
        <f>IFERROR(__xludf.DUMMYFUNCTION("SPLIT(G905,"","")"),44462.0)</f>
        <v>44462</v>
      </c>
      <c r="I905" s="6">
        <f>IFERROR(__xludf.DUMMYFUNCTION("""COMPUTED_VALUE"""),0.9575810185185185)</f>
        <v>0.9575810185</v>
      </c>
    </row>
    <row r="906">
      <c r="A906" s="2">
        <v>1.4</v>
      </c>
      <c r="B906" s="2">
        <v>231.9</v>
      </c>
      <c r="C906" s="2">
        <v>187.6</v>
      </c>
      <c r="D906" s="2">
        <v>6.43</v>
      </c>
      <c r="E906" s="2">
        <v>0.58</v>
      </c>
      <c r="F906" s="2">
        <v>50.0</v>
      </c>
      <c r="G906" s="3">
        <v>44462.957686064816</v>
      </c>
      <c r="H906" s="5">
        <f>IFERROR(__xludf.DUMMYFUNCTION("SPLIT(G906,"","")"),44462.0)</f>
        <v>44462</v>
      </c>
      <c r="I906" s="6">
        <f>IFERROR(__xludf.DUMMYFUNCTION("""COMPUTED_VALUE"""),0.9576851851851852)</f>
        <v>0.9576851852</v>
      </c>
    </row>
    <row r="907">
      <c r="A907" s="2">
        <v>1.38</v>
      </c>
      <c r="B907" s="2">
        <v>231.9</v>
      </c>
      <c r="C907" s="2">
        <v>184.1</v>
      </c>
      <c r="D907" s="2">
        <v>6.43</v>
      </c>
      <c r="E907" s="2">
        <v>0.58</v>
      </c>
      <c r="F907" s="2">
        <v>50.0</v>
      </c>
      <c r="G907" s="3">
        <v>44462.957790671295</v>
      </c>
      <c r="H907" s="5">
        <f>IFERROR(__xludf.DUMMYFUNCTION("SPLIT(G907,"","")"),44462.0)</f>
        <v>44462</v>
      </c>
      <c r="I907" s="6">
        <f>IFERROR(__xludf.DUMMYFUNCTION("""COMPUTED_VALUE"""),0.9577893518518519)</f>
        <v>0.9577893519</v>
      </c>
    </row>
    <row r="908">
      <c r="A908" s="2">
        <v>1.37</v>
      </c>
      <c r="B908" s="2">
        <v>231.9</v>
      </c>
      <c r="C908" s="2">
        <v>182.2</v>
      </c>
      <c r="D908" s="2">
        <v>6.43</v>
      </c>
      <c r="E908" s="2">
        <v>0.58</v>
      </c>
      <c r="F908" s="2">
        <v>50.0</v>
      </c>
      <c r="G908" s="3">
        <v>44462.95789474537</v>
      </c>
      <c r="H908" s="5">
        <f>IFERROR(__xludf.DUMMYFUNCTION("SPLIT(G908,"","")"),44462.0)</f>
        <v>44462</v>
      </c>
      <c r="I908" s="6">
        <f>IFERROR(__xludf.DUMMYFUNCTION("""COMPUTED_VALUE"""),0.9578935185185186)</f>
        <v>0.9578935185</v>
      </c>
    </row>
    <row r="909">
      <c r="A909" s="2">
        <v>1.36</v>
      </c>
      <c r="B909" s="2">
        <v>231.8</v>
      </c>
      <c r="C909" s="2">
        <v>181.0</v>
      </c>
      <c r="D909" s="2">
        <v>6.43</v>
      </c>
      <c r="E909" s="2">
        <v>0.58</v>
      </c>
      <c r="F909" s="2">
        <v>50.0</v>
      </c>
      <c r="G909" s="3">
        <v>44462.957998564816</v>
      </c>
      <c r="H909" s="5">
        <f>IFERROR(__xludf.DUMMYFUNCTION("SPLIT(G909,"","")"),44462.0)</f>
        <v>44462</v>
      </c>
      <c r="I909" s="6">
        <f>IFERROR(__xludf.DUMMYFUNCTION("""COMPUTED_VALUE"""),0.9579976851851851)</f>
        <v>0.9579976852</v>
      </c>
    </row>
    <row r="910">
      <c r="A910" s="2">
        <v>1.35</v>
      </c>
      <c r="B910" s="2">
        <v>231.5</v>
      </c>
      <c r="C910" s="2">
        <v>180.2</v>
      </c>
      <c r="D910" s="2">
        <v>6.43</v>
      </c>
      <c r="E910" s="2">
        <v>0.58</v>
      </c>
      <c r="F910" s="2">
        <v>50.0</v>
      </c>
      <c r="G910" s="3">
        <v>44462.95810193287</v>
      </c>
      <c r="H910" s="5">
        <f>IFERROR(__xludf.DUMMYFUNCTION("SPLIT(G910,"","")"),44462.0)</f>
        <v>44462</v>
      </c>
      <c r="I910" s="6">
        <f>IFERROR(__xludf.DUMMYFUNCTION("""COMPUTED_VALUE"""),0.9581018518518518)</f>
        <v>0.9581018519</v>
      </c>
    </row>
    <row r="911">
      <c r="A911" s="2">
        <v>1.35</v>
      </c>
      <c r="B911" s="2">
        <v>231.4</v>
      </c>
      <c r="C911" s="2">
        <v>178.5</v>
      </c>
      <c r="D911" s="2">
        <v>6.43</v>
      </c>
      <c r="E911" s="2">
        <v>0.57</v>
      </c>
      <c r="F911" s="2">
        <v>49.9</v>
      </c>
      <c r="G911" s="3">
        <v>44462.95820459491</v>
      </c>
      <c r="H911" s="5">
        <f>IFERROR(__xludf.DUMMYFUNCTION("SPLIT(G911,"","")"),44462.0)</f>
        <v>44462</v>
      </c>
      <c r="I911" s="6">
        <f>IFERROR(__xludf.DUMMYFUNCTION("""COMPUTED_VALUE"""),0.9582060185185185)</f>
        <v>0.9582060185</v>
      </c>
    </row>
    <row r="912">
      <c r="A912" s="2">
        <v>1.34</v>
      </c>
      <c r="B912" s="2">
        <v>231.4</v>
      </c>
      <c r="C912" s="2">
        <v>178.2</v>
      </c>
      <c r="D912" s="2">
        <v>6.43</v>
      </c>
      <c r="E912" s="2">
        <v>0.57</v>
      </c>
      <c r="F912" s="2">
        <v>49.9</v>
      </c>
      <c r="G912" s="3">
        <v>44462.95831096065</v>
      </c>
      <c r="H912" s="5">
        <f>IFERROR(__xludf.DUMMYFUNCTION("SPLIT(G912,"","")"),44462.0)</f>
        <v>44462</v>
      </c>
      <c r="I912" s="6">
        <f>IFERROR(__xludf.DUMMYFUNCTION("""COMPUTED_VALUE"""),0.9583101851851852)</f>
        <v>0.9583101852</v>
      </c>
    </row>
    <row r="913">
      <c r="A913" s="2">
        <v>1.32</v>
      </c>
      <c r="B913" s="2">
        <v>231.5</v>
      </c>
      <c r="C913" s="2">
        <v>175.1</v>
      </c>
      <c r="D913" s="2">
        <v>6.43</v>
      </c>
      <c r="E913" s="2">
        <v>0.57</v>
      </c>
      <c r="F913" s="2">
        <v>49.9</v>
      </c>
      <c r="G913" s="3">
        <v>44462.9584241088</v>
      </c>
      <c r="H913" s="5">
        <f>IFERROR(__xludf.DUMMYFUNCTION("SPLIT(G913,"","")"),44462.0)</f>
        <v>44462</v>
      </c>
      <c r="I913" s="6">
        <f>IFERROR(__xludf.DUMMYFUNCTION("""COMPUTED_VALUE"""),0.9584259259259259)</f>
        <v>0.9584259259</v>
      </c>
    </row>
    <row r="914">
      <c r="A914" s="2">
        <v>1.28</v>
      </c>
      <c r="B914" s="2">
        <v>230.4</v>
      </c>
      <c r="C914" s="2">
        <v>172.7</v>
      </c>
      <c r="D914" s="2">
        <v>6.43</v>
      </c>
      <c r="E914" s="2">
        <v>0.59</v>
      </c>
      <c r="F914" s="2">
        <v>49.9</v>
      </c>
      <c r="G914" s="3">
        <v>44462.958570428236</v>
      </c>
      <c r="H914" s="5">
        <f>IFERROR(__xludf.DUMMYFUNCTION("SPLIT(G914,"","")"),44462.0)</f>
        <v>44462</v>
      </c>
      <c r="I914" s="6">
        <f>IFERROR(__xludf.DUMMYFUNCTION("""COMPUTED_VALUE"""),0.9585648148148148)</f>
        <v>0.9585648148</v>
      </c>
    </row>
    <row r="915">
      <c r="A915" s="2">
        <v>1.25</v>
      </c>
      <c r="B915" s="2">
        <v>230.2</v>
      </c>
      <c r="C915" s="2">
        <v>169.1</v>
      </c>
      <c r="D915" s="2">
        <v>6.43</v>
      </c>
      <c r="E915" s="2">
        <v>0.59</v>
      </c>
      <c r="F915" s="2">
        <v>50.0</v>
      </c>
      <c r="G915" s="3">
        <v>44462.95868157408</v>
      </c>
      <c r="H915" s="5">
        <f>IFERROR(__xludf.DUMMYFUNCTION("SPLIT(G915,"","")"),44462.0)</f>
        <v>44462</v>
      </c>
      <c r="I915" s="6">
        <f>IFERROR(__xludf.DUMMYFUNCTION("""COMPUTED_VALUE"""),0.9586805555555555)</f>
        <v>0.9586805556</v>
      </c>
    </row>
    <row r="916">
      <c r="A916" s="2">
        <v>1.22</v>
      </c>
      <c r="B916" s="2">
        <v>230.3</v>
      </c>
      <c r="C916" s="2">
        <v>165.5</v>
      </c>
      <c r="D916" s="2">
        <v>6.43</v>
      </c>
      <c r="E916" s="2">
        <v>0.59</v>
      </c>
      <c r="F916" s="2">
        <v>49.9</v>
      </c>
      <c r="G916" s="3">
        <v>44462.95878935185</v>
      </c>
      <c r="H916" s="5">
        <f>IFERROR(__xludf.DUMMYFUNCTION("SPLIT(G916,"","")"),44462.0)</f>
        <v>44462</v>
      </c>
      <c r="I916" s="6">
        <f>IFERROR(__xludf.DUMMYFUNCTION("""COMPUTED_VALUE"""),0.9587847222222222)</f>
        <v>0.9587847222</v>
      </c>
    </row>
    <row r="917">
      <c r="A917" s="2">
        <v>1.22</v>
      </c>
      <c r="B917" s="2">
        <v>230.5</v>
      </c>
      <c r="C917" s="2">
        <v>165.4</v>
      </c>
      <c r="D917" s="2">
        <v>6.43</v>
      </c>
      <c r="E917" s="2">
        <v>0.59</v>
      </c>
      <c r="F917" s="2">
        <v>50.0</v>
      </c>
      <c r="G917" s="3">
        <v>44462.95889552083</v>
      </c>
      <c r="H917" s="5">
        <f>IFERROR(__xludf.DUMMYFUNCTION("SPLIT(G917,"","")"),44462.0)</f>
        <v>44462</v>
      </c>
      <c r="I917" s="6">
        <f>IFERROR(__xludf.DUMMYFUNCTION("""COMPUTED_VALUE"""),0.9589004629629629)</f>
        <v>0.958900463</v>
      </c>
    </row>
    <row r="918">
      <c r="A918" s="2">
        <v>1.23</v>
      </c>
      <c r="B918" s="2">
        <v>230.7</v>
      </c>
      <c r="C918" s="2">
        <v>166.4</v>
      </c>
      <c r="D918" s="2">
        <v>6.44</v>
      </c>
      <c r="E918" s="2">
        <v>0.59</v>
      </c>
      <c r="F918" s="2">
        <v>49.9</v>
      </c>
      <c r="G918" s="3">
        <v>44462.959002118056</v>
      </c>
      <c r="H918" s="5">
        <f>IFERROR(__xludf.DUMMYFUNCTION("SPLIT(G918,"","")"),44462.0)</f>
        <v>44462</v>
      </c>
      <c r="I918" s="6">
        <f>IFERROR(__xludf.DUMMYFUNCTION("""COMPUTED_VALUE"""),0.9590046296296296)</f>
        <v>0.9590046296</v>
      </c>
    </row>
    <row r="919">
      <c r="A919" s="2">
        <v>1.23</v>
      </c>
      <c r="B919" s="2">
        <v>232.2</v>
      </c>
      <c r="C919" s="2">
        <v>163.8</v>
      </c>
      <c r="D919" s="2">
        <v>6.44</v>
      </c>
      <c r="E919" s="2">
        <v>0.58</v>
      </c>
      <c r="F919" s="2">
        <v>50.0</v>
      </c>
      <c r="G919" s="3">
        <v>44462.95911215278</v>
      </c>
      <c r="H919" s="5">
        <f>IFERROR(__xludf.DUMMYFUNCTION("SPLIT(G919,"","")"),44462.0)</f>
        <v>44462</v>
      </c>
      <c r="I919" s="6">
        <f>IFERROR(__xludf.DUMMYFUNCTION("""COMPUTED_VALUE"""),0.9591087962962963)</f>
        <v>0.9591087963</v>
      </c>
    </row>
    <row r="920">
      <c r="A920" s="2">
        <v>1.2</v>
      </c>
      <c r="B920" s="2">
        <v>232.2</v>
      </c>
      <c r="C920" s="2">
        <v>160.6</v>
      </c>
      <c r="D920" s="2">
        <v>6.44</v>
      </c>
      <c r="E920" s="2">
        <v>0.57</v>
      </c>
      <c r="F920" s="2">
        <v>50.0</v>
      </c>
      <c r="G920" s="3">
        <v>44462.959225162034</v>
      </c>
      <c r="H920" s="5">
        <f>IFERROR(__xludf.DUMMYFUNCTION("SPLIT(G920,"","")"),44462.0)</f>
        <v>44462</v>
      </c>
      <c r="I920" s="6">
        <f>IFERROR(__xludf.DUMMYFUNCTION("""COMPUTED_VALUE"""),0.959224537037037)</f>
        <v>0.959224537</v>
      </c>
    </row>
    <row r="921">
      <c r="A921" s="2">
        <v>1.18</v>
      </c>
      <c r="B921" s="2">
        <v>232.3</v>
      </c>
      <c r="C921" s="2">
        <v>158.2</v>
      </c>
      <c r="D921" s="2">
        <v>6.44</v>
      </c>
      <c r="E921" s="2">
        <v>0.57</v>
      </c>
      <c r="F921" s="2">
        <v>50.0</v>
      </c>
      <c r="G921" s="3">
        <v>44462.959329375</v>
      </c>
      <c r="H921" s="5">
        <f>IFERROR(__xludf.DUMMYFUNCTION("SPLIT(G921,"","")"),44462.0)</f>
        <v>44462</v>
      </c>
      <c r="I921" s="6">
        <f>IFERROR(__xludf.DUMMYFUNCTION("""COMPUTED_VALUE"""),0.9593287037037037)</f>
        <v>0.9593287037</v>
      </c>
    </row>
    <row r="922">
      <c r="A922" s="2">
        <v>1.18</v>
      </c>
      <c r="B922" s="2">
        <v>232.2</v>
      </c>
      <c r="C922" s="2">
        <v>158.2</v>
      </c>
      <c r="D922" s="2">
        <v>6.44</v>
      </c>
      <c r="E922" s="2">
        <v>0.58</v>
      </c>
      <c r="F922" s="2">
        <v>50.0</v>
      </c>
      <c r="G922" s="3">
        <v>44462.959434247685</v>
      </c>
      <c r="H922" s="5">
        <f>IFERROR(__xludf.DUMMYFUNCTION("SPLIT(G922,"","")"),44462.0)</f>
        <v>44462</v>
      </c>
      <c r="I922" s="6">
        <f>IFERROR(__xludf.DUMMYFUNCTION("""COMPUTED_VALUE"""),0.9594328703703704)</f>
        <v>0.9594328704</v>
      </c>
    </row>
    <row r="923">
      <c r="A923" s="2">
        <v>1.17</v>
      </c>
      <c r="B923" s="2">
        <v>232.1</v>
      </c>
      <c r="C923" s="2">
        <v>156.5</v>
      </c>
      <c r="D923" s="2">
        <v>6.44</v>
      </c>
      <c r="E923" s="2">
        <v>0.58</v>
      </c>
      <c r="F923" s="2">
        <v>50.0</v>
      </c>
      <c r="G923" s="3">
        <v>44462.95953721065</v>
      </c>
      <c r="H923" s="5">
        <f>IFERROR(__xludf.DUMMYFUNCTION("SPLIT(G923,"","")"),44462.0)</f>
        <v>44462</v>
      </c>
      <c r="I923" s="6">
        <f>IFERROR(__xludf.DUMMYFUNCTION("""COMPUTED_VALUE"""),0.9595370370370371)</f>
        <v>0.959537037</v>
      </c>
    </row>
    <row r="924">
      <c r="A924" s="2">
        <v>1.15</v>
      </c>
      <c r="B924" s="2">
        <v>230.6</v>
      </c>
      <c r="C924" s="2">
        <v>156.2</v>
      </c>
      <c r="D924" s="2">
        <v>6.44</v>
      </c>
      <c r="E924" s="2">
        <v>0.59</v>
      </c>
      <c r="F924" s="2">
        <v>50.0</v>
      </c>
      <c r="G924" s="3">
        <v>44462.95964163194</v>
      </c>
      <c r="H924" s="5">
        <f>IFERROR(__xludf.DUMMYFUNCTION("SPLIT(G924,"","")"),44462.0)</f>
        <v>44462</v>
      </c>
      <c r="I924" s="6">
        <f>IFERROR(__xludf.DUMMYFUNCTION("""COMPUTED_VALUE"""),0.9596412037037036)</f>
        <v>0.9596412037</v>
      </c>
    </row>
    <row r="925">
      <c r="A925" s="2">
        <v>1.14</v>
      </c>
      <c r="B925" s="2">
        <v>230.6</v>
      </c>
      <c r="C925" s="2">
        <v>154.3</v>
      </c>
      <c r="D925" s="2">
        <v>6.44</v>
      </c>
      <c r="E925" s="2">
        <v>0.59</v>
      </c>
      <c r="F925" s="2">
        <v>50.0</v>
      </c>
      <c r="G925" s="3">
        <v>44462.959748379624</v>
      </c>
      <c r="H925" s="5">
        <f>IFERROR(__xludf.DUMMYFUNCTION("SPLIT(G925,"","")"),44462.0)</f>
        <v>44462</v>
      </c>
      <c r="I925" s="6">
        <f>IFERROR(__xludf.DUMMYFUNCTION("""COMPUTED_VALUE"""),0.9597453703703703)</f>
        <v>0.9597453704</v>
      </c>
    </row>
    <row r="926">
      <c r="A926" s="2">
        <v>1.13</v>
      </c>
      <c r="B926" s="2">
        <v>230.3</v>
      </c>
      <c r="C926" s="2">
        <v>152.5</v>
      </c>
      <c r="D926" s="2">
        <v>6.44</v>
      </c>
      <c r="E926" s="2">
        <v>0.58</v>
      </c>
      <c r="F926" s="2">
        <v>50.0</v>
      </c>
      <c r="G926" s="3">
        <v>44462.95985547453</v>
      </c>
      <c r="H926" s="5">
        <f>IFERROR(__xludf.DUMMYFUNCTION("SPLIT(G926,"","")"),44462.0)</f>
        <v>44462</v>
      </c>
      <c r="I926" s="6">
        <f>IFERROR(__xludf.DUMMYFUNCTION("""COMPUTED_VALUE"""),0.9598611111111112)</f>
        <v>0.9598611111</v>
      </c>
    </row>
    <row r="927">
      <c r="A927" s="2">
        <v>1.13</v>
      </c>
      <c r="B927" s="2">
        <v>230.3</v>
      </c>
      <c r="C927" s="2">
        <v>152.5</v>
      </c>
      <c r="D927" s="2">
        <v>6.44</v>
      </c>
      <c r="E927" s="2">
        <v>0.58</v>
      </c>
      <c r="F927" s="2">
        <v>50.0</v>
      </c>
      <c r="G927" s="3">
        <v>44462.95996246528</v>
      </c>
      <c r="H927" s="5">
        <f>IFERROR(__xludf.DUMMYFUNCTION("SPLIT(G927,"","")"),44462.0)</f>
        <v>44462</v>
      </c>
      <c r="I927" s="6">
        <f>IFERROR(__xludf.DUMMYFUNCTION("""COMPUTED_VALUE"""),0.9599652777777777)</f>
        <v>0.9599652778</v>
      </c>
    </row>
    <row r="928">
      <c r="A928" s="2">
        <v>1.14</v>
      </c>
      <c r="B928" s="2">
        <v>230.2</v>
      </c>
      <c r="C928" s="2">
        <v>152.6</v>
      </c>
      <c r="D928" s="2">
        <v>6.44</v>
      </c>
      <c r="E928" s="2">
        <v>0.58</v>
      </c>
      <c r="F928" s="2">
        <v>49.9</v>
      </c>
      <c r="G928" s="3">
        <v>44462.96008304398</v>
      </c>
      <c r="H928" s="5">
        <f>IFERROR(__xludf.DUMMYFUNCTION("SPLIT(G928,"","")"),44462.0)</f>
        <v>44462</v>
      </c>
      <c r="I928" s="6">
        <f>IFERROR(__xludf.DUMMYFUNCTION("""COMPUTED_VALUE"""),0.9600810185185186)</f>
        <v>0.9600810185</v>
      </c>
    </row>
    <row r="929">
      <c r="A929" s="2">
        <v>1.15</v>
      </c>
      <c r="B929" s="2">
        <v>232.0</v>
      </c>
      <c r="C929" s="2">
        <v>152.6</v>
      </c>
      <c r="D929" s="2">
        <v>6.44</v>
      </c>
      <c r="E929" s="2">
        <v>0.57</v>
      </c>
      <c r="F929" s="2">
        <v>49.9</v>
      </c>
      <c r="G929" s="3">
        <v>44462.96018760417</v>
      </c>
      <c r="H929" s="5">
        <f>IFERROR(__xludf.DUMMYFUNCTION("SPLIT(G929,"","")"),44462.0)</f>
        <v>44462</v>
      </c>
      <c r="I929" s="6">
        <f>IFERROR(__xludf.DUMMYFUNCTION("""COMPUTED_VALUE"""),0.9601851851851851)</f>
        <v>0.9601851852</v>
      </c>
    </row>
    <row r="930">
      <c r="A930" s="2">
        <v>1.15</v>
      </c>
      <c r="B930" s="2">
        <v>232.1</v>
      </c>
      <c r="C930" s="2">
        <v>152.6</v>
      </c>
      <c r="D930" s="2">
        <v>6.44</v>
      </c>
      <c r="E930" s="2">
        <v>0.57</v>
      </c>
      <c r="F930" s="2">
        <v>49.9</v>
      </c>
      <c r="G930" s="3">
        <v>44462.96029185185</v>
      </c>
      <c r="H930" s="5">
        <f>IFERROR(__xludf.DUMMYFUNCTION("SPLIT(G930,"","")"),44462.0)</f>
        <v>44462</v>
      </c>
      <c r="I930" s="6">
        <f>IFERROR(__xludf.DUMMYFUNCTION("""COMPUTED_VALUE"""),0.9602893518518518)</f>
        <v>0.9602893519</v>
      </c>
    </row>
    <row r="931">
      <c r="A931" s="2">
        <v>1.14</v>
      </c>
      <c r="B931" s="2">
        <v>232.1</v>
      </c>
      <c r="C931" s="2">
        <v>151.0</v>
      </c>
      <c r="D931" s="2">
        <v>6.44</v>
      </c>
      <c r="E931" s="2">
        <v>0.57</v>
      </c>
      <c r="F931" s="2">
        <v>49.9</v>
      </c>
      <c r="G931" s="3">
        <v>44462.960397303235</v>
      </c>
      <c r="H931" s="5">
        <f>IFERROR(__xludf.DUMMYFUNCTION("SPLIT(G931,"","")"),44462.0)</f>
        <v>44462</v>
      </c>
      <c r="I931" s="6">
        <f>IFERROR(__xludf.DUMMYFUNCTION("""COMPUTED_VALUE"""),0.9603935185185185)</f>
        <v>0.9603935185</v>
      </c>
    </row>
    <row r="932">
      <c r="A932" s="2">
        <v>1.1</v>
      </c>
      <c r="B932" s="2">
        <v>232.1</v>
      </c>
      <c r="C932" s="2">
        <v>145.4</v>
      </c>
      <c r="D932" s="2">
        <v>6.44</v>
      </c>
      <c r="E932" s="2">
        <v>0.57</v>
      </c>
      <c r="F932" s="2">
        <v>49.9</v>
      </c>
      <c r="G932" s="3">
        <v>44462.96050782407</v>
      </c>
      <c r="H932" s="5">
        <f>IFERROR(__xludf.DUMMYFUNCTION("SPLIT(G932,"","")"),44462.0)</f>
        <v>44462</v>
      </c>
      <c r="I932" s="6">
        <f>IFERROR(__xludf.DUMMYFUNCTION("""COMPUTED_VALUE"""),0.9605092592592592)</f>
        <v>0.9605092593</v>
      </c>
    </row>
    <row r="933">
      <c r="A933" s="2">
        <v>1.08</v>
      </c>
      <c r="B933" s="2">
        <v>232.1</v>
      </c>
      <c r="C933" s="2">
        <v>143.5</v>
      </c>
      <c r="D933" s="2">
        <v>6.44</v>
      </c>
      <c r="E933" s="2">
        <v>0.57</v>
      </c>
      <c r="F933" s="2">
        <v>49.9</v>
      </c>
      <c r="G933" s="3">
        <v>44462.96062607639</v>
      </c>
      <c r="H933" s="5">
        <f>IFERROR(__xludf.DUMMYFUNCTION("SPLIT(G933,"","")"),44462.0)</f>
        <v>44462</v>
      </c>
      <c r="I933" s="6">
        <f>IFERROR(__xludf.DUMMYFUNCTION("""COMPUTED_VALUE"""),0.960625)</f>
        <v>0.960625</v>
      </c>
    </row>
    <row r="934">
      <c r="A934" s="2">
        <v>1.07</v>
      </c>
      <c r="B934" s="2">
        <v>232.3</v>
      </c>
      <c r="C934" s="2">
        <v>141.5</v>
      </c>
      <c r="D934" s="2">
        <v>6.44</v>
      </c>
      <c r="E934" s="2">
        <v>0.57</v>
      </c>
      <c r="F934" s="2">
        <v>49.9</v>
      </c>
      <c r="G934" s="3">
        <v>44462.96073277778</v>
      </c>
      <c r="H934" s="5">
        <f>IFERROR(__xludf.DUMMYFUNCTION("SPLIT(G934,"","")"),44462.0)</f>
        <v>44462</v>
      </c>
      <c r="I934" s="6">
        <f>IFERROR(__xludf.DUMMYFUNCTION("""COMPUTED_VALUE"""),0.9607291666666666)</f>
        <v>0.9607291667</v>
      </c>
    </row>
    <row r="935">
      <c r="A935" s="2">
        <v>1.09</v>
      </c>
      <c r="B935" s="2">
        <v>232.5</v>
      </c>
      <c r="C935" s="2">
        <v>141.4</v>
      </c>
      <c r="D935" s="2">
        <v>6.44</v>
      </c>
      <c r="E935" s="2">
        <v>0.56</v>
      </c>
      <c r="F935" s="2">
        <v>49.9</v>
      </c>
      <c r="G935" s="3">
        <v>44462.960840960644</v>
      </c>
      <c r="H935" s="5">
        <f>IFERROR(__xludf.DUMMYFUNCTION("SPLIT(G935,"","")"),44462.0)</f>
        <v>44462</v>
      </c>
      <c r="I935" s="6">
        <f>IFERROR(__xludf.DUMMYFUNCTION("""COMPUTED_VALUE"""),0.9608449074074074)</f>
        <v>0.9608449074</v>
      </c>
    </row>
    <row r="936">
      <c r="A936" s="2">
        <v>1.07</v>
      </c>
      <c r="B936" s="2">
        <v>232.3</v>
      </c>
      <c r="C936" s="2">
        <v>139.5</v>
      </c>
      <c r="D936" s="2">
        <v>6.44</v>
      </c>
      <c r="E936" s="2">
        <v>0.56</v>
      </c>
      <c r="F936" s="2">
        <v>50.0</v>
      </c>
      <c r="G936" s="3">
        <v>44462.960948796295</v>
      </c>
      <c r="H936" s="5">
        <f>IFERROR(__xludf.DUMMYFUNCTION("SPLIT(G936,"","")"),44462.0)</f>
        <v>44462</v>
      </c>
      <c r="I936" s="6">
        <f>IFERROR(__xludf.DUMMYFUNCTION("""COMPUTED_VALUE"""),0.960949074074074)</f>
        <v>0.9609490741</v>
      </c>
    </row>
    <row r="937">
      <c r="A937" s="2">
        <v>1.05</v>
      </c>
      <c r="B937" s="2">
        <v>232.4</v>
      </c>
      <c r="C937" s="2">
        <v>137.9</v>
      </c>
      <c r="D937" s="2">
        <v>6.44</v>
      </c>
      <c r="E937" s="2">
        <v>0.56</v>
      </c>
      <c r="F937" s="2">
        <v>50.0</v>
      </c>
      <c r="G937" s="3">
        <v>44462.96105182871</v>
      </c>
      <c r="H937" s="5">
        <f>IFERROR(__xludf.DUMMYFUNCTION("SPLIT(G937,"","")"),44462.0)</f>
        <v>44462</v>
      </c>
      <c r="I937" s="6">
        <f>IFERROR(__xludf.DUMMYFUNCTION("""COMPUTED_VALUE"""),0.9610532407407407)</f>
        <v>0.9610532407</v>
      </c>
    </row>
    <row r="938">
      <c r="A938" s="2">
        <v>1.06</v>
      </c>
      <c r="B938" s="2">
        <v>232.2</v>
      </c>
      <c r="C938" s="2">
        <v>137.9</v>
      </c>
      <c r="D938" s="2">
        <v>6.44</v>
      </c>
      <c r="E938" s="2">
        <v>0.56</v>
      </c>
      <c r="F938" s="2">
        <v>50.0</v>
      </c>
      <c r="G938" s="3">
        <v>44462.96115982639</v>
      </c>
      <c r="H938" s="5">
        <f>IFERROR(__xludf.DUMMYFUNCTION("SPLIT(G938,"","")"),44462.0)</f>
        <v>44462</v>
      </c>
      <c r="I938" s="6">
        <f>IFERROR(__xludf.DUMMYFUNCTION("""COMPUTED_VALUE"""),0.9611574074074074)</f>
        <v>0.9611574074</v>
      </c>
    </row>
    <row r="939">
      <c r="A939" s="2">
        <v>1.05</v>
      </c>
      <c r="B939" s="2">
        <v>232.2</v>
      </c>
      <c r="C939" s="2">
        <v>137.8</v>
      </c>
      <c r="D939" s="2">
        <v>6.44</v>
      </c>
      <c r="E939" s="2">
        <v>0.56</v>
      </c>
      <c r="F939" s="2">
        <v>50.0</v>
      </c>
      <c r="G939" s="3">
        <v>44462.961269004634</v>
      </c>
      <c r="H939" s="5">
        <f>IFERROR(__xludf.DUMMYFUNCTION("SPLIT(G939,"","")"),44462.0)</f>
        <v>44462</v>
      </c>
      <c r="I939" s="6">
        <f>IFERROR(__xludf.DUMMYFUNCTION("""COMPUTED_VALUE"""),0.9612731481481481)</f>
        <v>0.9612731481</v>
      </c>
    </row>
    <row r="940">
      <c r="A940" s="2">
        <v>1.05</v>
      </c>
      <c r="B940" s="2">
        <v>232.2</v>
      </c>
      <c r="C940" s="2">
        <v>137.9</v>
      </c>
      <c r="D940" s="2">
        <v>6.44</v>
      </c>
      <c r="E940" s="2">
        <v>0.56</v>
      </c>
      <c r="F940" s="2">
        <v>50.0</v>
      </c>
      <c r="G940" s="3">
        <v>44462.96137579861</v>
      </c>
      <c r="H940" s="5">
        <f>IFERROR(__xludf.DUMMYFUNCTION("SPLIT(G940,"","")"),44462.0)</f>
        <v>44462</v>
      </c>
      <c r="I940" s="6">
        <f>IFERROR(__xludf.DUMMYFUNCTION("""COMPUTED_VALUE"""),0.9613773148148148)</f>
        <v>0.9613773148</v>
      </c>
    </row>
    <row r="941">
      <c r="A941" s="2">
        <v>1.05</v>
      </c>
      <c r="B941" s="2">
        <v>232.3</v>
      </c>
      <c r="C941" s="2">
        <v>137.9</v>
      </c>
      <c r="D941" s="2">
        <v>6.44</v>
      </c>
      <c r="E941" s="2">
        <v>0.56</v>
      </c>
      <c r="F941" s="2">
        <v>50.0</v>
      </c>
      <c r="G941" s="3">
        <v>44462.96147711806</v>
      </c>
      <c r="H941" s="5">
        <f>IFERROR(__xludf.DUMMYFUNCTION("SPLIT(G941,"","")"),44462.0)</f>
        <v>44462</v>
      </c>
      <c r="I941" s="6">
        <f>IFERROR(__xludf.DUMMYFUNCTION("""COMPUTED_VALUE"""),0.9614814814814815)</f>
        <v>0.9614814815</v>
      </c>
    </row>
    <row r="942">
      <c r="A942" s="2">
        <v>1.06</v>
      </c>
      <c r="B942" s="2">
        <v>232.3</v>
      </c>
      <c r="C942" s="2">
        <v>137.9</v>
      </c>
      <c r="D942" s="2">
        <v>6.45</v>
      </c>
      <c r="E942" s="2">
        <v>0.56</v>
      </c>
      <c r="F942" s="2">
        <v>50.0</v>
      </c>
      <c r="G942" s="3">
        <v>44462.96157863426</v>
      </c>
      <c r="H942" s="5">
        <f>IFERROR(__xludf.DUMMYFUNCTION("SPLIT(G942,"","")"),44462.0)</f>
        <v>44462</v>
      </c>
      <c r="I942" s="6">
        <f>IFERROR(__xludf.DUMMYFUNCTION("""COMPUTED_VALUE"""),0.961574074074074)</f>
        <v>0.9615740741</v>
      </c>
    </row>
    <row r="943">
      <c r="A943" s="2">
        <v>1.06</v>
      </c>
      <c r="B943" s="2">
        <v>232.3</v>
      </c>
      <c r="C943" s="2">
        <v>137.8</v>
      </c>
      <c r="D943" s="2">
        <v>6.45</v>
      </c>
      <c r="E943" s="2">
        <v>0.56</v>
      </c>
      <c r="F943" s="2">
        <v>50.0</v>
      </c>
      <c r="G943" s="3">
        <v>44462.961688043986</v>
      </c>
      <c r="H943" s="5">
        <f>IFERROR(__xludf.DUMMYFUNCTION("SPLIT(G943,"","")"),44462.0)</f>
        <v>44462</v>
      </c>
      <c r="I943" s="6">
        <f>IFERROR(__xludf.DUMMYFUNCTION("""COMPUTED_VALUE"""),0.9616898148148149)</f>
        <v>0.9616898148</v>
      </c>
    </row>
    <row r="944">
      <c r="A944" s="2">
        <v>1.06</v>
      </c>
      <c r="B944" s="2">
        <v>232.3</v>
      </c>
      <c r="C944" s="2">
        <v>137.9</v>
      </c>
      <c r="D944" s="2">
        <v>6.45</v>
      </c>
      <c r="E944" s="2">
        <v>0.56</v>
      </c>
      <c r="F944" s="2">
        <v>50.0</v>
      </c>
      <c r="G944" s="3">
        <v>44462.961791319445</v>
      </c>
      <c r="H944" s="5">
        <f>IFERROR(__xludf.DUMMYFUNCTION("SPLIT(G944,"","")"),44462.0)</f>
        <v>44462</v>
      </c>
      <c r="I944" s="6">
        <f>IFERROR(__xludf.DUMMYFUNCTION("""COMPUTED_VALUE"""),0.9617939814814814)</f>
        <v>0.9617939815</v>
      </c>
    </row>
    <row r="945">
      <c r="A945" s="2">
        <v>1.05</v>
      </c>
      <c r="B945" s="2">
        <v>232.3</v>
      </c>
      <c r="C945" s="2">
        <v>137.8</v>
      </c>
      <c r="D945" s="2">
        <v>6.45</v>
      </c>
      <c r="E945" s="2">
        <v>0.56</v>
      </c>
      <c r="F945" s="2">
        <v>50.0</v>
      </c>
      <c r="G945" s="3">
        <v>44462.961892974534</v>
      </c>
      <c r="H945" s="5">
        <f>IFERROR(__xludf.DUMMYFUNCTION("SPLIT(G945,"","")"),44462.0)</f>
        <v>44462</v>
      </c>
      <c r="I945" s="6">
        <f>IFERROR(__xludf.DUMMYFUNCTION("""COMPUTED_VALUE"""),0.9618981481481481)</f>
        <v>0.9618981481</v>
      </c>
    </row>
    <row r="946">
      <c r="A946" s="2">
        <v>1.03</v>
      </c>
      <c r="B946" s="2">
        <v>232.3</v>
      </c>
      <c r="C946" s="2">
        <v>134.3</v>
      </c>
      <c r="D946" s="2">
        <v>6.45</v>
      </c>
      <c r="E946" s="2">
        <v>0.56</v>
      </c>
      <c r="F946" s="2">
        <v>50.0</v>
      </c>
      <c r="G946" s="3">
        <v>44462.96200488426</v>
      </c>
      <c r="H946" s="5">
        <f>IFERROR(__xludf.DUMMYFUNCTION("SPLIT(G946,"","")"),44462.0)</f>
        <v>44462</v>
      </c>
      <c r="I946" s="6">
        <f>IFERROR(__xludf.DUMMYFUNCTION("""COMPUTED_VALUE"""),0.9620023148148148)</f>
        <v>0.9620023148</v>
      </c>
    </row>
    <row r="947">
      <c r="A947" s="2">
        <v>1.0</v>
      </c>
      <c r="B947" s="2">
        <v>232.3</v>
      </c>
      <c r="C947" s="2">
        <v>132.3</v>
      </c>
      <c r="D947" s="2">
        <v>6.45</v>
      </c>
      <c r="E947" s="2">
        <v>0.57</v>
      </c>
      <c r="F947" s="2">
        <v>50.0</v>
      </c>
      <c r="G947" s="3">
        <v>44462.96210798611</v>
      </c>
      <c r="H947" s="5">
        <f>IFERROR(__xludf.DUMMYFUNCTION("SPLIT(G947,"","")"),44462.0)</f>
        <v>44462</v>
      </c>
      <c r="I947" s="6">
        <f>IFERROR(__xludf.DUMMYFUNCTION("""COMPUTED_VALUE"""),0.9621064814814815)</f>
        <v>0.9621064815</v>
      </c>
    </row>
    <row r="948">
      <c r="A948" s="2">
        <v>1.0</v>
      </c>
      <c r="B948" s="2">
        <v>232.2</v>
      </c>
      <c r="C948" s="2">
        <v>132.4</v>
      </c>
      <c r="D948" s="2">
        <v>6.45</v>
      </c>
      <c r="E948" s="2">
        <v>0.57</v>
      </c>
      <c r="F948" s="2">
        <v>50.0</v>
      </c>
      <c r="G948" s="3">
        <v>44462.96221217593</v>
      </c>
      <c r="H948" s="5">
        <f>IFERROR(__xludf.DUMMYFUNCTION("SPLIT(G948,"","")"),44462.0)</f>
        <v>44462</v>
      </c>
      <c r="I948" s="6">
        <f>IFERROR(__xludf.DUMMYFUNCTION("""COMPUTED_VALUE"""),0.9622106481481482)</f>
        <v>0.9622106481</v>
      </c>
    </row>
    <row r="949">
      <c r="A949" s="2">
        <v>1.0</v>
      </c>
      <c r="B949" s="2">
        <v>232.2</v>
      </c>
      <c r="C949" s="2">
        <v>132.4</v>
      </c>
      <c r="D949" s="2">
        <v>6.45</v>
      </c>
      <c r="E949" s="2">
        <v>0.57</v>
      </c>
      <c r="F949" s="2">
        <v>49.9</v>
      </c>
      <c r="G949" s="3">
        <v>44462.96231322917</v>
      </c>
      <c r="H949" s="5">
        <f>IFERROR(__xludf.DUMMYFUNCTION("SPLIT(G949,"","")"),44462.0)</f>
        <v>44462</v>
      </c>
      <c r="I949" s="6">
        <f>IFERROR(__xludf.DUMMYFUNCTION("""COMPUTED_VALUE"""),0.9623148148148148)</f>
        <v>0.9623148148</v>
      </c>
    </row>
    <row r="950">
      <c r="A950" s="2">
        <v>1.01</v>
      </c>
      <c r="B950" s="2">
        <v>232.1</v>
      </c>
      <c r="C950" s="2">
        <v>132.2</v>
      </c>
      <c r="D950" s="2">
        <v>6.45</v>
      </c>
      <c r="E950" s="2">
        <v>0.57</v>
      </c>
      <c r="F950" s="2">
        <v>50.0</v>
      </c>
      <c r="G950" s="3">
        <v>44462.962416064816</v>
      </c>
      <c r="H950" s="5">
        <f>IFERROR(__xludf.DUMMYFUNCTION("SPLIT(G950,"","")"),44462.0)</f>
        <v>44462</v>
      </c>
      <c r="I950" s="6">
        <f>IFERROR(__xludf.DUMMYFUNCTION("""COMPUTED_VALUE"""),0.9624189814814815)</f>
        <v>0.9624189815</v>
      </c>
    </row>
    <row r="951">
      <c r="A951" s="2">
        <v>0.98</v>
      </c>
      <c r="B951" s="2">
        <v>232.0</v>
      </c>
      <c r="C951" s="2">
        <v>128.0</v>
      </c>
      <c r="D951" s="2">
        <v>6.45</v>
      </c>
      <c r="E951" s="2">
        <v>0.56</v>
      </c>
      <c r="F951" s="2">
        <v>50.0</v>
      </c>
      <c r="G951" s="3">
        <v>44462.9625222801</v>
      </c>
      <c r="H951" s="5">
        <f>IFERROR(__xludf.DUMMYFUNCTION("SPLIT(G951,"","")"),44462.0)</f>
        <v>44462</v>
      </c>
      <c r="I951" s="6">
        <f>IFERROR(__xludf.DUMMYFUNCTION("""COMPUTED_VALUE"""),0.9625231481481481)</f>
        <v>0.9625231481</v>
      </c>
    </row>
    <row r="952">
      <c r="A952" s="2">
        <v>0.97</v>
      </c>
      <c r="B952" s="2">
        <v>232.0</v>
      </c>
      <c r="C952" s="2">
        <v>126.9</v>
      </c>
      <c r="D952" s="2">
        <v>6.45</v>
      </c>
      <c r="E952" s="2">
        <v>0.56</v>
      </c>
      <c r="F952" s="2">
        <v>49.9</v>
      </c>
      <c r="G952" s="3">
        <v>44462.96262466435</v>
      </c>
      <c r="H952" s="5">
        <f>IFERROR(__xludf.DUMMYFUNCTION("SPLIT(G952,"","")"),44462.0)</f>
        <v>44462</v>
      </c>
      <c r="I952" s="6">
        <f>IFERROR(__xludf.DUMMYFUNCTION("""COMPUTED_VALUE"""),0.9626273148148148)</f>
        <v>0.9626273148</v>
      </c>
    </row>
    <row r="953">
      <c r="A953" s="2">
        <v>0.96</v>
      </c>
      <c r="B953" s="2">
        <v>232.0</v>
      </c>
      <c r="C953" s="2">
        <v>125.0</v>
      </c>
      <c r="D953" s="2">
        <v>6.45</v>
      </c>
      <c r="E953" s="2">
        <v>0.56</v>
      </c>
      <c r="F953" s="2">
        <v>49.9</v>
      </c>
      <c r="G953" s="3">
        <v>44462.96273046296</v>
      </c>
      <c r="H953" s="5">
        <f>IFERROR(__xludf.DUMMYFUNCTION("SPLIT(G953,"","")"),44462.0)</f>
        <v>44462</v>
      </c>
      <c r="I953" s="6">
        <f>IFERROR(__xludf.DUMMYFUNCTION("""COMPUTED_VALUE"""),0.9627314814814815)</f>
        <v>0.9627314815</v>
      </c>
    </row>
    <row r="954">
      <c r="A954" s="2">
        <v>0.96</v>
      </c>
      <c r="B954" s="2">
        <v>231.8</v>
      </c>
      <c r="C954" s="2">
        <v>125.0</v>
      </c>
      <c r="D954" s="2">
        <v>6.45</v>
      </c>
      <c r="E954" s="2">
        <v>0.56</v>
      </c>
      <c r="F954" s="2">
        <v>49.9</v>
      </c>
      <c r="G954" s="3">
        <v>44462.962836192135</v>
      </c>
      <c r="H954" s="5">
        <f>IFERROR(__xludf.DUMMYFUNCTION("SPLIT(G954,"","")"),44462.0)</f>
        <v>44462</v>
      </c>
      <c r="I954" s="6">
        <f>IFERROR(__xludf.DUMMYFUNCTION("""COMPUTED_VALUE"""),0.9628356481481481)</f>
        <v>0.9628356481</v>
      </c>
    </row>
    <row r="955">
      <c r="A955" s="2">
        <v>0.96</v>
      </c>
      <c r="B955" s="2">
        <v>232.1</v>
      </c>
      <c r="C955" s="2">
        <v>124.9</v>
      </c>
      <c r="D955" s="2">
        <v>6.45</v>
      </c>
      <c r="E955" s="2">
        <v>0.56</v>
      </c>
      <c r="F955" s="2">
        <v>49.9</v>
      </c>
      <c r="G955" s="3">
        <v>44462.96294736111</v>
      </c>
      <c r="H955" s="5">
        <f>IFERROR(__xludf.DUMMYFUNCTION("SPLIT(G955,"","")"),44462.0)</f>
        <v>44462</v>
      </c>
      <c r="I955" s="6">
        <f>IFERROR(__xludf.DUMMYFUNCTION("""COMPUTED_VALUE"""),0.9629513888888889)</f>
        <v>0.9629513889</v>
      </c>
    </row>
    <row r="956">
      <c r="A956" s="2">
        <v>0.96</v>
      </c>
      <c r="B956" s="2">
        <v>232.1</v>
      </c>
      <c r="C956" s="2">
        <v>125.1</v>
      </c>
      <c r="D956" s="2">
        <v>6.45</v>
      </c>
      <c r="E956" s="2">
        <v>0.56</v>
      </c>
      <c r="F956" s="2">
        <v>49.9</v>
      </c>
      <c r="G956" s="3">
        <v>44462.96304292824</v>
      </c>
      <c r="H956" s="5">
        <f>IFERROR(__xludf.DUMMYFUNCTION("SPLIT(G956,"","")"),44462.0)</f>
        <v>44462</v>
      </c>
      <c r="I956" s="6">
        <f>IFERROR(__xludf.DUMMYFUNCTION("""COMPUTED_VALUE"""),0.9630439814814815)</f>
        <v>0.9630439815</v>
      </c>
    </row>
    <row r="957">
      <c r="A957" s="2">
        <v>0.97</v>
      </c>
      <c r="B957" s="2">
        <v>232.2</v>
      </c>
      <c r="C957" s="2">
        <v>124.9</v>
      </c>
      <c r="D957" s="2">
        <v>6.45</v>
      </c>
      <c r="E957" s="2">
        <v>0.55</v>
      </c>
      <c r="F957" s="2">
        <v>49.9</v>
      </c>
      <c r="G957" s="3">
        <v>44462.963143622685</v>
      </c>
      <c r="H957" s="5">
        <f>IFERROR(__xludf.DUMMYFUNCTION("SPLIT(G957,"","")"),44462.0)</f>
        <v>44462</v>
      </c>
      <c r="I957" s="6">
        <f>IFERROR(__xludf.DUMMYFUNCTION("""COMPUTED_VALUE"""),0.9631481481481482)</f>
        <v>0.9631481481</v>
      </c>
    </row>
    <row r="958">
      <c r="A958" s="2">
        <v>0.96</v>
      </c>
      <c r="B958" s="2">
        <v>232.3</v>
      </c>
      <c r="C958" s="2">
        <v>123.2</v>
      </c>
      <c r="D958" s="2">
        <v>6.45</v>
      </c>
      <c r="E958" s="2">
        <v>0.55</v>
      </c>
      <c r="F958" s="2">
        <v>49.9</v>
      </c>
      <c r="G958" s="3">
        <v>44462.96324780093</v>
      </c>
      <c r="H958" s="5">
        <f>IFERROR(__xludf.DUMMYFUNCTION("SPLIT(G958,"","")"),44462.0)</f>
        <v>44462</v>
      </c>
      <c r="I958" s="6">
        <f>IFERROR(__xludf.DUMMYFUNCTION("""COMPUTED_VALUE"""),0.9632523148148148)</f>
        <v>0.9632523148</v>
      </c>
    </row>
    <row r="959">
      <c r="A959" s="2">
        <v>0.97</v>
      </c>
      <c r="B959" s="2">
        <v>231.5</v>
      </c>
      <c r="C959" s="2">
        <v>123.2</v>
      </c>
      <c r="D959" s="2">
        <v>6.45</v>
      </c>
      <c r="E959" s="2">
        <v>0.55</v>
      </c>
      <c r="F959" s="2">
        <v>50.0</v>
      </c>
      <c r="G959" s="3">
        <v>44462.963357789355</v>
      </c>
      <c r="H959" s="5">
        <f>IFERROR(__xludf.DUMMYFUNCTION("SPLIT(G959,"","")"),44462.0)</f>
        <v>44462</v>
      </c>
      <c r="I959" s="6">
        <f>IFERROR(__xludf.DUMMYFUNCTION("""COMPUTED_VALUE"""),0.9633564814814815)</f>
        <v>0.9633564815</v>
      </c>
    </row>
    <row r="960">
      <c r="A960" s="2">
        <v>0.97</v>
      </c>
      <c r="B960" s="2">
        <v>231.6</v>
      </c>
      <c r="C960" s="2">
        <v>123.2</v>
      </c>
      <c r="D960" s="2">
        <v>6.45</v>
      </c>
      <c r="E960" s="2">
        <v>0.55</v>
      </c>
      <c r="F960" s="2">
        <v>50.0</v>
      </c>
      <c r="G960" s="3">
        <v>44462.963463645836</v>
      </c>
      <c r="H960" s="5">
        <f>IFERROR(__xludf.DUMMYFUNCTION("SPLIT(G960,"","")"),44462.0)</f>
        <v>44462</v>
      </c>
      <c r="I960" s="6">
        <f>IFERROR(__xludf.DUMMYFUNCTION("""COMPUTED_VALUE"""),0.9634606481481481)</f>
        <v>0.9634606481</v>
      </c>
    </row>
    <row r="961">
      <c r="A961" s="2">
        <v>0.97</v>
      </c>
      <c r="B961" s="2">
        <v>231.7</v>
      </c>
      <c r="C961" s="2">
        <v>123.1</v>
      </c>
      <c r="D961" s="2">
        <v>6.45</v>
      </c>
      <c r="E961" s="2">
        <v>0.55</v>
      </c>
      <c r="F961" s="2">
        <v>50.0</v>
      </c>
      <c r="G961" s="3">
        <v>44462.9635709375</v>
      </c>
      <c r="H961" s="5">
        <f>IFERROR(__xludf.DUMMYFUNCTION("SPLIT(G961,"","")"),44462.0)</f>
        <v>44462</v>
      </c>
      <c r="I961" s="6">
        <f>IFERROR(__xludf.DUMMYFUNCTION("""COMPUTED_VALUE"""),0.9635763888888889)</f>
        <v>0.9635763889</v>
      </c>
    </row>
    <row r="962">
      <c r="A962" s="2">
        <v>0.96</v>
      </c>
      <c r="B962" s="2">
        <v>231.7</v>
      </c>
      <c r="C962" s="2">
        <v>121.3</v>
      </c>
      <c r="D962" s="2">
        <v>6.45</v>
      </c>
      <c r="E962" s="2">
        <v>0.55</v>
      </c>
      <c r="F962" s="2">
        <v>50.0</v>
      </c>
      <c r="G962" s="3">
        <v>44462.96367884259</v>
      </c>
      <c r="H962" s="5">
        <f>IFERROR(__xludf.DUMMYFUNCTION("SPLIT(G962,"","")"),44462.0)</f>
        <v>44462</v>
      </c>
      <c r="I962" s="6">
        <f>IFERROR(__xludf.DUMMYFUNCTION("""COMPUTED_VALUE"""),0.9636805555555555)</f>
        <v>0.9636805556</v>
      </c>
    </row>
    <row r="963">
      <c r="A963" s="2">
        <v>0.05</v>
      </c>
      <c r="B963" s="2">
        <v>232.1</v>
      </c>
      <c r="C963" s="2">
        <v>1.7</v>
      </c>
      <c r="D963" s="2">
        <v>6.45</v>
      </c>
      <c r="E963" s="2">
        <v>0.15</v>
      </c>
      <c r="F963" s="2">
        <v>50.0</v>
      </c>
      <c r="G963" s="3">
        <v>44462.96378888889</v>
      </c>
      <c r="H963" s="5">
        <f>IFERROR(__xludf.DUMMYFUNCTION("SPLIT(G963,"","")"),44462.0)</f>
        <v>44462</v>
      </c>
      <c r="I963" s="6">
        <f>IFERROR(__xludf.DUMMYFUNCTION("""COMPUTED_VALUE"""),0.9637847222222222)</f>
        <v>0.9637847222</v>
      </c>
    </row>
    <row r="964">
      <c r="A964" s="2">
        <v>0.05</v>
      </c>
      <c r="B964" s="2">
        <v>232.1</v>
      </c>
      <c r="C964" s="2">
        <v>2.0</v>
      </c>
      <c r="D964" s="2">
        <v>6.45</v>
      </c>
      <c r="E964" s="2">
        <v>0.16</v>
      </c>
      <c r="F964" s="2">
        <v>50.0</v>
      </c>
      <c r="G964" s="3">
        <v>44462.963898981485</v>
      </c>
      <c r="H964" s="5">
        <f>IFERROR(__xludf.DUMMYFUNCTION("SPLIT(G964,"","")"),44462.0)</f>
        <v>44462</v>
      </c>
      <c r="I964" s="6">
        <f>IFERROR(__xludf.DUMMYFUNCTION("""COMPUTED_VALUE"""),0.963900462962963)</f>
        <v>0.963900463</v>
      </c>
    </row>
    <row r="965">
      <c r="A965" s="2">
        <v>0.05</v>
      </c>
      <c r="B965" s="2">
        <v>232.0</v>
      </c>
      <c r="C965" s="2">
        <v>2.1</v>
      </c>
      <c r="D965" s="2">
        <v>6.45</v>
      </c>
      <c r="E965" s="2">
        <v>0.17</v>
      </c>
      <c r="F965" s="2">
        <v>50.0</v>
      </c>
      <c r="G965" s="3">
        <v>44462.96400395833</v>
      </c>
      <c r="H965" s="5">
        <f>IFERROR(__xludf.DUMMYFUNCTION("SPLIT(G965,"","")"),44462.0)</f>
        <v>44462</v>
      </c>
      <c r="I965" s="6">
        <f>IFERROR(__xludf.DUMMYFUNCTION("""COMPUTED_VALUE"""),0.9640046296296296)</f>
        <v>0.9640046296</v>
      </c>
    </row>
    <row r="966">
      <c r="A966" s="2">
        <v>0.05</v>
      </c>
      <c r="B966" s="2">
        <v>231.9</v>
      </c>
      <c r="C966" s="2">
        <v>2.0</v>
      </c>
      <c r="D966" s="2">
        <v>6.45</v>
      </c>
      <c r="E966" s="2">
        <v>0.16</v>
      </c>
      <c r="F966" s="2">
        <v>49.9</v>
      </c>
      <c r="G966" s="3">
        <v>44462.96410927083</v>
      </c>
      <c r="H966" s="5">
        <f>IFERROR(__xludf.DUMMYFUNCTION("SPLIT(G966,"","")"),44462.0)</f>
        <v>44462</v>
      </c>
      <c r="I966" s="6">
        <f>IFERROR(__xludf.DUMMYFUNCTION("""COMPUTED_VALUE"""),0.9641087962962963)</f>
        <v>0.9641087963</v>
      </c>
    </row>
    <row r="967">
      <c r="A967" s="2">
        <v>0.05</v>
      </c>
      <c r="B967" s="2">
        <v>231.9</v>
      </c>
      <c r="C967" s="2">
        <v>1.9</v>
      </c>
      <c r="D967" s="2">
        <v>6.45</v>
      </c>
      <c r="E967" s="2">
        <v>0.15</v>
      </c>
      <c r="F967" s="2">
        <v>49.9</v>
      </c>
      <c r="G967" s="3">
        <v>44462.96422098379</v>
      </c>
      <c r="H967" s="5">
        <f>IFERROR(__xludf.DUMMYFUNCTION("SPLIT(G967,"","")"),44462.0)</f>
        <v>44462</v>
      </c>
      <c r="I967" s="6">
        <f>IFERROR(__xludf.DUMMYFUNCTION("""COMPUTED_VALUE"""),0.964224537037037)</f>
        <v>0.964224537</v>
      </c>
    </row>
    <row r="968">
      <c r="A968" s="2">
        <v>0.05</v>
      </c>
      <c r="B968" s="2">
        <v>231.8</v>
      </c>
      <c r="C968" s="2">
        <v>1.9</v>
      </c>
      <c r="D968" s="2">
        <v>6.45</v>
      </c>
      <c r="E968" s="2">
        <v>0.16</v>
      </c>
      <c r="F968" s="2">
        <v>49.9</v>
      </c>
      <c r="G968" s="3">
        <v>44462.96432555556</v>
      </c>
      <c r="H968" s="5">
        <f>IFERROR(__xludf.DUMMYFUNCTION("SPLIT(G968,"","")"),44462.0)</f>
        <v>44462</v>
      </c>
      <c r="I968" s="6">
        <f>IFERROR(__xludf.DUMMYFUNCTION("""COMPUTED_VALUE"""),0.9643287037037037)</f>
        <v>0.9643287037</v>
      </c>
    </row>
    <row r="969">
      <c r="A969" s="2">
        <v>0.05</v>
      </c>
      <c r="B969" s="2">
        <v>231.7</v>
      </c>
      <c r="C969" s="2">
        <v>1.9</v>
      </c>
      <c r="D969" s="2">
        <v>6.45</v>
      </c>
      <c r="E969" s="2">
        <v>0.16</v>
      </c>
      <c r="F969" s="2">
        <v>49.9</v>
      </c>
      <c r="G969" s="3">
        <v>44462.96443263889</v>
      </c>
      <c r="H969" s="5">
        <f>IFERROR(__xludf.DUMMYFUNCTION("SPLIT(G969,"","")"),44462.0)</f>
        <v>44462</v>
      </c>
      <c r="I969" s="6">
        <f>IFERROR(__xludf.DUMMYFUNCTION("""COMPUTED_VALUE"""),0.9644328703703704)</f>
        <v>0.9644328704</v>
      </c>
    </row>
    <row r="970">
      <c r="A970" s="2">
        <v>0.05</v>
      </c>
      <c r="B970" s="2">
        <v>231.8</v>
      </c>
      <c r="C970" s="2">
        <v>2.0</v>
      </c>
      <c r="D970" s="2">
        <v>6.45</v>
      </c>
      <c r="E970" s="2">
        <v>0.17</v>
      </c>
      <c r="F970" s="2">
        <v>49.9</v>
      </c>
      <c r="G970" s="3">
        <v>44462.96454033565</v>
      </c>
      <c r="H970" s="5">
        <f>IFERROR(__xludf.DUMMYFUNCTION("SPLIT(G970,"","")"),44462.0)</f>
        <v>44462</v>
      </c>
      <c r="I970" s="6">
        <f>IFERROR(__xludf.DUMMYFUNCTION("""COMPUTED_VALUE"""),0.9645370370370371)</f>
        <v>0.964537037</v>
      </c>
    </row>
    <row r="971">
      <c r="A971" s="2">
        <v>0.05</v>
      </c>
      <c r="B971" s="2">
        <v>231.8</v>
      </c>
      <c r="C971" s="2">
        <v>2.0</v>
      </c>
      <c r="D971" s="2">
        <v>6.45</v>
      </c>
      <c r="E971" s="2">
        <v>0.16</v>
      </c>
      <c r="F971" s="2">
        <v>49.9</v>
      </c>
      <c r="G971" s="3">
        <v>44462.96464364583</v>
      </c>
      <c r="H971" s="5">
        <f>IFERROR(__xludf.DUMMYFUNCTION("SPLIT(G971,"","")"),44462.0)</f>
        <v>44462</v>
      </c>
      <c r="I971" s="6">
        <f>IFERROR(__xludf.DUMMYFUNCTION("""COMPUTED_VALUE"""),0.9646412037037037)</f>
        <v>0.9646412037</v>
      </c>
    </row>
    <row r="972">
      <c r="A972" s="2">
        <v>0.05</v>
      </c>
      <c r="B972" s="2">
        <v>231.9</v>
      </c>
      <c r="C972" s="2">
        <v>1.8</v>
      </c>
      <c r="D972" s="2">
        <v>6.45</v>
      </c>
      <c r="E972" s="2">
        <v>0.16</v>
      </c>
      <c r="F972" s="2">
        <v>50.0</v>
      </c>
      <c r="G972" s="3">
        <v>44462.96474604167</v>
      </c>
      <c r="H972" s="5">
        <f>IFERROR(__xludf.DUMMYFUNCTION("SPLIT(G972,"","")"),44462.0)</f>
        <v>44462</v>
      </c>
      <c r="I972" s="6">
        <f>IFERROR(__xludf.DUMMYFUNCTION("""COMPUTED_VALUE"""),0.9647453703703703)</f>
        <v>0.9647453704</v>
      </c>
    </row>
    <row r="973">
      <c r="A973" s="2">
        <v>0.05</v>
      </c>
      <c r="B973" s="2">
        <v>231.9</v>
      </c>
      <c r="C973" s="2">
        <v>1.8</v>
      </c>
      <c r="D973" s="2">
        <v>6.45</v>
      </c>
      <c r="E973" s="2">
        <v>0.15</v>
      </c>
      <c r="F973" s="2">
        <v>50.0</v>
      </c>
      <c r="G973" s="3">
        <v>44462.96484755787</v>
      </c>
      <c r="H973" s="5">
        <f>IFERROR(__xludf.DUMMYFUNCTION("SPLIT(G973,"","")"),44462.0)</f>
        <v>44462</v>
      </c>
      <c r="I973" s="6">
        <f>IFERROR(__xludf.DUMMYFUNCTION("""COMPUTED_VALUE"""),0.964849537037037)</f>
        <v>0.964849537</v>
      </c>
    </row>
    <row r="974">
      <c r="A974" s="2">
        <v>0.05</v>
      </c>
      <c r="B974" s="2">
        <v>231.8</v>
      </c>
      <c r="C974" s="2">
        <v>1.8</v>
      </c>
      <c r="D974" s="2">
        <v>6.45</v>
      </c>
      <c r="E974" s="2">
        <v>0.15</v>
      </c>
      <c r="F974" s="2">
        <v>49.9</v>
      </c>
      <c r="G974" s="3">
        <v>44462.964950856476</v>
      </c>
      <c r="H974" s="5">
        <f>IFERROR(__xludf.DUMMYFUNCTION("SPLIT(G974,"","")"),44462.0)</f>
        <v>44462</v>
      </c>
      <c r="I974" s="6">
        <f>IFERROR(__xludf.DUMMYFUNCTION("""COMPUTED_VALUE"""),0.9649537037037037)</f>
        <v>0.9649537037</v>
      </c>
    </row>
    <row r="975">
      <c r="A975" s="2">
        <v>0.05</v>
      </c>
      <c r="B975" s="2">
        <v>231.8</v>
      </c>
      <c r="C975" s="2">
        <v>1.8</v>
      </c>
      <c r="D975" s="2">
        <v>6.45</v>
      </c>
      <c r="E975" s="2">
        <v>0.16</v>
      </c>
      <c r="F975" s="2">
        <v>49.9</v>
      </c>
      <c r="G975" s="3">
        <v>44462.96505871528</v>
      </c>
      <c r="H975" s="5">
        <f>IFERROR(__xludf.DUMMYFUNCTION("SPLIT(G975,"","")"),44462.0)</f>
        <v>44462</v>
      </c>
      <c r="I975" s="6">
        <f>IFERROR(__xludf.DUMMYFUNCTION("""COMPUTED_VALUE"""),0.9650578703703704)</f>
        <v>0.9650578704</v>
      </c>
    </row>
    <row r="976">
      <c r="A976" s="2">
        <v>0.05</v>
      </c>
      <c r="B976" s="2">
        <v>231.8</v>
      </c>
      <c r="C976" s="2">
        <v>2.0</v>
      </c>
      <c r="D976" s="2">
        <v>6.45</v>
      </c>
      <c r="E976" s="2">
        <v>0.17</v>
      </c>
      <c r="F976" s="2">
        <v>49.9</v>
      </c>
      <c r="G976" s="3">
        <v>44462.96516559028</v>
      </c>
      <c r="H976" s="5">
        <f>IFERROR(__xludf.DUMMYFUNCTION("SPLIT(G976,"","")"),44462.0)</f>
        <v>44462</v>
      </c>
      <c r="I976" s="6">
        <f>IFERROR(__xludf.DUMMYFUNCTION("""COMPUTED_VALUE"""),0.9651620370370371)</f>
        <v>0.965162037</v>
      </c>
    </row>
    <row r="977">
      <c r="A977" s="2">
        <v>0.05</v>
      </c>
      <c r="B977" s="2">
        <v>231.9</v>
      </c>
      <c r="C977" s="2">
        <v>2.0</v>
      </c>
      <c r="D977" s="2">
        <v>6.45</v>
      </c>
      <c r="E977" s="2">
        <v>0.17</v>
      </c>
      <c r="F977" s="2">
        <v>50.0</v>
      </c>
      <c r="G977" s="3">
        <v>44462.96527059028</v>
      </c>
      <c r="H977" s="5">
        <f>IFERROR(__xludf.DUMMYFUNCTION("SPLIT(G977,"","")"),44462.0)</f>
        <v>44462</v>
      </c>
      <c r="I977" s="6">
        <f>IFERROR(__xludf.DUMMYFUNCTION("""COMPUTED_VALUE"""),0.9652662037037038)</f>
        <v>0.9652662037</v>
      </c>
    </row>
    <row r="978">
      <c r="A978" s="2">
        <v>0.05</v>
      </c>
      <c r="B978" s="2">
        <v>231.9</v>
      </c>
      <c r="C978" s="2">
        <v>1.9</v>
      </c>
      <c r="D978" s="2">
        <v>6.45</v>
      </c>
      <c r="E978" s="2">
        <v>0.16</v>
      </c>
      <c r="F978" s="2">
        <v>49.9</v>
      </c>
      <c r="G978" s="3">
        <v>44462.965378912035</v>
      </c>
      <c r="H978" s="5">
        <f>IFERROR(__xludf.DUMMYFUNCTION("SPLIT(G978,"","")"),44462.0)</f>
        <v>44462</v>
      </c>
      <c r="I978" s="6">
        <f>IFERROR(__xludf.DUMMYFUNCTION("""COMPUTED_VALUE"""),0.9653819444444445)</f>
        <v>0.9653819444</v>
      </c>
    </row>
    <row r="979">
      <c r="A979" s="2">
        <v>0.05</v>
      </c>
      <c r="B979" s="2">
        <v>231.9</v>
      </c>
      <c r="C979" s="2">
        <v>1.8</v>
      </c>
      <c r="D979" s="2">
        <v>6.45</v>
      </c>
      <c r="E979" s="2">
        <v>0.16</v>
      </c>
      <c r="F979" s="2">
        <v>50.0</v>
      </c>
      <c r="G979" s="3">
        <v>44462.9654850463</v>
      </c>
      <c r="H979" s="5">
        <f>IFERROR(__xludf.DUMMYFUNCTION("SPLIT(G979,"","")"),44462.0)</f>
        <v>44462</v>
      </c>
      <c r="I979" s="6">
        <f>IFERROR(__xludf.DUMMYFUNCTION("""COMPUTED_VALUE"""),0.9654861111111112)</f>
        <v>0.9654861111</v>
      </c>
    </row>
    <row r="980">
      <c r="A980" s="2">
        <v>0.05</v>
      </c>
      <c r="B980" s="2">
        <v>231.7</v>
      </c>
      <c r="C980" s="2">
        <v>2.0</v>
      </c>
      <c r="D980" s="2">
        <v>6.45</v>
      </c>
      <c r="E980" s="2">
        <v>0.17</v>
      </c>
      <c r="F980" s="2">
        <v>49.9</v>
      </c>
      <c r="G980" s="3">
        <v>44462.96559211805</v>
      </c>
      <c r="H980" s="5">
        <f>IFERROR(__xludf.DUMMYFUNCTION("SPLIT(G980,"","")"),44462.0)</f>
        <v>44462</v>
      </c>
      <c r="I980" s="6">
        <f>IFERROR(__xludf.DUMMYFUNCTION("""COMPUTED_VALUE"""),0.9655902777777777)</f>
        <v>0.9655902778</v>
      </c>
    </row>
    <row r="981">
      <c r="A981" s="2">
        <v>0.05</v>
      </c>
      <c r="B981" s="2">
        <v>231.7</v>
      </c>
      <c r="C981" s="2">
        <v>2.0</v>
      </c>
      <c r="D981" s="2">
        <v>6.45</v>
      </c>
      <c r="E981" s="2">
        <v>0.16</v>
      </c>
      <c r="F981" s="2">
        <v>50.0</v>
      </c>
      <c r="G981" s="3">
        <v>44462.96570005787</v>
      </c>
      <c r="H981" s="5">
        <f>IFERROR(__xludf.DUMMYFUNCTION("SPLIT(G981,"","")"),44462.0)</f>
        <v>44462</v>
      </c>
      <c r="I981" s="6">
        <f>IFERROR(__xludf.DUMMYFUNCTION("""COMPUTED_VALUE"""),0.9656944444444444)</f>
        <v>0.9656944444</v>
      </c>
    </row>
    <row r="982">
      <c r="A982" s="2">
        <v>0.05</v>
      </c>
      <c r="B982" s="2">
        <v>231.9</v>
      </c>
      <c r="C982" s="2">
        <v>1.9</v>
      </c>
      <c r="D982" s="2">
        <v>6.45</v>
      </c>
      <c r="E982" s="2">
        <v>0.16</v>
      </c>
      <c r="F982" s="2">
        <v>50.0</v>
      </c>
      <c r="G982" s="3">
        <v>44462.96581650463</v>
      </c>
      <c r="H982" s="5">
        <f>IFERROR(__xludf.DUMMYFUNCTION("SPLIT(G982,"","")"),44462.0)</f>
        <v>44462</v>
      </c>
      <c r="I982" s="6">
        <f>IFERROR(__xludf.DUMMYFUNCTION("""COMPUTED_VALUE"""),0.9658217592592593)</f>
        <v>0.9658217593</v>
      </c>
    </row>
    <row r="983">
      <c r="A983" s="2">
        <v>0.05</v>
      </c>
      <c r="B983" s="2">
        <v>231.9</v>
      </c>
      <c r="C983" s="2">
        <v>2.0</v>
      </c>
      <c r="D983" s="2">
        <v>6.45</v>
      </c>
      <c r="E983" s="2">
        <v>0.17</v>
      </c>
      <c r="F983" s="2">
        <v>50.0</v>
      </c>
      <c r="G983" s="3">
        <v>44462.96592983796</v>
      </c>
      <c r="H983" s="5">
        <f>IFERROR(__xludf.DUMMYFUNCTION("SPLIT(G983,"","")"),44462.0)</f>
        <v>44462</v>
      </c>
      <c r="I983" s="6">
        <f>IFERROR(__xludf.DUMMYFUNCTION("""COMPUTED_VALUE"""),0.965925925925926)</f>
        <v>0.9659259259</v>
      </c>
    </row>
    <row r="984">
      <c r="A984" s="2">
        <v>0.05</v>
      </c>
      <c r="B984" s="2">
        <v>232.0</v>
      </c>
      <c r="C984" s="2">
        <v>2.1</v>
      </c>
      <c r="D984" s="2">
        <v>6.45</v>
      </c>
      <c r="E984" s="2">
        <v>0.17</v>
      </c>
      <c r="F984" s="2">
        <v>50.0</v>
      </c>
      <c r="G984" s="3">
        <v>44462.96603445602</v>
      </c>
      <c r="H984" s="5">
        <f>IFERROR(__xludf.DUMMYFUNCTION("SPLIT(G984,"","")"),44462.0)</f>
        <v>44462</v>
      </c>
      <c r="I984" s="6">
        <f>IFERROR(__xludf.DUMMYFUNCTION("""COMPUTED_VALUE"""),0.9660300925925925)</f>
        <v>0.9660300926</v>
      </c>
    </row>
    <row r="985">
      <c r="A985" s="2">
        <v>0.05</v>
      </c>
      <c r="B985" s="2">
        <v>232.1</v>
      </c>
      <c r="C985" s="2">
        <v>2.1</v>
      </c>
      <c r="D985" s="2">
        <v>6.45</v>
      </c>
      <c r="E985" s="2">
        <v>0.17</v>
      </c>
      <c r="F985" s="2">
        <v>50.0</v>
      </c>
      <c r="G985" s="3">
        <v>44462.96614748843</v>
      </c>
      <c r="H985" s="5">
        <f>IFERROR(__xludf.DUMMYFUNCTION("SPLIT(G985,"","")"),44462.0)</f>
        <v>44462</v>
      </c>
      <c r="I985" s="6">
        <f>IFERROR(__xludf.DUMMYFUNCTION("""COMPUTED_VALUE"""),0.9661458333333334)</f>
        <v>0.9661458333</v>
      </c>
    </row>
    <row r="986">
      <c r="A986" s="2">
        <v>0.05</v>
      </c>
      <c r="B986" s="2">
        <v>232.1</v>
      </c>
      <c r="C986" s="2">
        <v>1.9</v>
      </c>
      <c r="D986" s="2">
        <v>6.45</v>
      </c>
      <c r="E986" s="2">
        <v>0.16</v>
      </c>
      <c r="F986" s="2">
        <v>50.0</v>
      </c>
      <c r="G986" s="3">
        <v>44462.96625820602</v>
      </c>
      <c r="H986" s="5">
        <f>IFERROR(__xludf.DUMMYFUNCTION("SPLIT(G986,"","")"),44462.0)</f>
        <v>44462</v>
      </c>
      <c r="I986" s="6">
        <f>IFERROR(__xludf.DUMMYFUNCTION("""COMPUTED_VALUE"""),0.9662615740740741)</f>
        <v>0.9662615741</v>
      </c>
    </row>
    <row r="987">
      <c r="A987" s="2">
        <v>0.05</v>
      </c>
      <c r="B987" s="2">
        <v>232.1</v>
      </c>
      <c r="C987" s="2">
        <v>2.0</v>
      </c>
      <c r="D987" s="2">
        <v>6.45</v>
      </c>
      <c r="E987" s="2">
        <v>0.17</v>
      </c>
      <c r="F987" s="2">
        <v>50.0</v>
      </c>
      <c r="G987" s="3">
        <v>44462.966367037036</v>
      </c>
      <c r="H987" s="5">
        <f>IFERROR(__xludf.DUMMYFUNCTION("SPLIT(G987,"","")"),44462.0)</f>
        <v>44462</v>
      </c>
      <c r="I987" s="6">
        <f>IFERROR(__xludf.DUMMYFUNCTION("""COMPUTED_VALUE"""),0.9663657407407408)</f>
        <v>0.9663657407</v>
      </c>
    </row>
    <row r="988">
      <c r="A988" s="2">
        <v>0.05</v>
      </c>
      <c r="B988" s="2">
        <v>232.5</v>
      </c>
      <c r="C988" s="2">
        <v>1.9</v>
      </c>
      <c r="D988" s="2">
        <v>6.45</v>
      </c>
      <c r="E988" s="2">
        <v>0.16</v>
      </c>
      <c r="F988" s="2">
        <v>49.9</v>
      </c>
      <c r="G988" s="3">
        <v>44462.96648055555</v>
      </c>
      <c r="H988" s="5">
        <f>IFERROR(__xludf.DUMMYFUNCTION("SPLIT(G988,"","")"),44462.0)</f>
        <v>44462</v>
      </c>
      <c r="I988" s="6">
        <f>IFERROR(__xludf.DUMMYFUNCTION("""COMPUTED_VALUE"""),0.9664814814814815)</f>
        <v>0.9664814815</v>
      </c>
    </row>
    <row r="989">
      <c r="A989" s="2">
        <v>0.05</v>
      </c>
      <c r="B989" s="2">
        <v>232.5</v>
      </c>
      <c r="C989" s="2">
        <v>2.1</v>
      </c>
      <c r="D989" s="2">
        <v>6.45</v>
      </c>
      <c r="E989" s="2">
        <v>0.17</v>
      </c>
      <c r="F989" s="2">
        <v>49.9</v>
      </c>
      <c r="G989" s="3">
        <v>44462.966600115746</v>
      </c>
      <c r="H989" s="5">
        <f>IFERROR(__xludf.DUMMYFUNCTION("SPLIT(G989,"","")"),44462.0)</f>
        <v>44462</v>
      </c>
      <c r="I989" s="6">
        <f>IFERROR(__xludf.DUMMYFUNCTION("""COMPUTED_VALUE"""),0.9665972222222222)</f>
        <v>0.9665972222</v>
      </c>
    </row>
    <row r="990">
      <c r="A990" s="2">
        <v>0.05</v>
      </c>
      <c r="B990" s="2">
        <v>232.6</v>
      </c>
      <c r="C990" s="2">
        <v>2.0</v>
      </c>
      <c r="D990" s="2">
        <v>6.45</v>
      </c>
      <c r="E990" s="2">
        <v>0.17</v>
      </c>
      <c r="F990" s="2">
        <v>49.9</v>
      </c>
      <c r="G990" s="3">
        <v>44462.966710520835</v>
      </c>
      <c r="H990" s="5">
        <f>IFERROR(__xludf.DUMMYFUNCTION("SPLIT(G990,"","")"),44462.0)</f>
        <v>44462</v>
      </c>
      <c r="I990" s="6">
        <f>IFERROR(__xludf.DUMMYFUNCTION("""COMPUTED_VALUE"""),0.9667129629629629)</f>
        <v>0.966712963</v>
      </c>
    </row>
    <row r="991">
      <c r="A991" s="2">
        <v>0.05</v>
      </c>
      <c r="B991" s="2">
        <v>232.7</v>
      </c>
      <c r="C991" s="2">
        <v>1.8</v>
      </c>
      <c r="D991" s="2">
        <v>6.45</v>
      </c>
      <c r="E991" s="2">
        <v>0.15</v>
      </c>
      <c r="F991" s="2">
        <v>49.9</v>
      </c>
      <c r="G991" s="3">
        <v>44462.966822835646</v>
      </c>
      <c r="H991" s="5">
        <f>IFERROR(__xludf.DUMMYFUNCTION("SPLIT(G991,"","")"),44462.0)</f>
        <v>44462</v>
      </c>
      <c r="I991" s="6">
        <f>IFERROR(__xludf.DUMMYFUNCTION("""COMPUTED_VALUE"""),0.9668171296296296)</f>
        <v>0.9668171296</v>
      </c>
    </row>
    <row r="992">
      <c r="A992" s="2">
        <v>0.05</v>
      </c>
      <c r="B992" s="2">
        <v>232.7</v>
      </c>
      <c r="C992" s="2">
        <v>1.9</v>
      </c>
      <c r="D992" s="2">
        <v>6.45</v>
      </c>
      <c r="E992" s="2">
        <v>0.16</v>
      </c>
      <c r="F992" s="2">
        <v>49.9</v>
      </c>
      <c r="G992" s="3">
        <v>44462.9669272801</v>
      </c>
      <c r="H992" s="5">
        <f>IFERROR(__xludf.DUMMYFUNCTION("SPLIT(G992,"","")"),44462.0)</f>
        <v>44462</v>
      </c>
      <c r="I992" s="6">
        <f>IFERROR(__xludf.DUMMYFUNCTION("""COMPUTED_VALUE"""),0.9669328703703703)</f>
        <v>0.9669328704</v>
      </c>
    </row>
    <row r="993">
      <c r="A993" s="2">
        <v>0.05</v>
      </c>
      <c r="B993" s="2">
        <v>232.8</v>
      </c>
      <c r="C993" s="2">
        <v>1.9</v>
      </c>
      <c r="D993" s="2">
        <v>6.45</v>
      </c>
      <c r="E993" s="2">
        <v>0.16</v>
      </c>
      <c r="F993" s="2">
        <v>50.0</v>
      </c>
      <c r="G993" s="3">
        <v>44462.967029189815</v>
      </c>
      <c r="H993" s="5">
        <f>IFERROR(__xludf.DUMMYFUNCTION("SPLIT(G993,"","")"),44462.0)</f>
        <v>44462</v>
      </c>
      <c r="I993" s="6">
        <f>IFERROR(__xludf.DUMMYFUNCTION("""COMPUTED_VALUE"""),0.967025462962963)</f>
        <v>0.967025463</v>
      </c>
    </row>
    <row r="994">
      <c r="A994" s="2">
        <v>0.05</v>
      </c>
      <c r="B994" s="2">
        <v>232.8</v>
      </c>
      <c r="C994" s="2">
        <v>2.0</v>
      </c>
      <c r="D994" s="2">
        <v>6.45</v>
      </c>
      <c r="E994" s="2">
        <v>0.17</v>
      </c>
      <c r="F994" s="2">
        <v>50.0</v>
      </c>
      <c r="G994" s="3">
        <v>44462.967131909725</v>
      </c>
      <c r="H994" s="5">
        <f>IFERROR(__xludf.DUMMYFUNCTION("SPLIT(G994,"","")"),44462.0)</f>
        <v>44462</v>
      </c>
      <c r="I994" s="6">
        <f>IFERROR(__xludf.DUMMYFUNCTION("""COMPUTED_VALUE"""),0.9671296296296297)</f>
        <v>0.9671296296</v>
      </c>
    </row>
    <row r="995">
      <c r="A995" s="2">
        <v>0.05</v>
      </c>
      <c r="B995" s="2">
        <v>232.9</v>
      </c>
      <c r="C995" s="2">
        <v>2.0</v>
      </c>
      <c r="D995" s="2">
        <v>6.45</v>
      </c>
      <c r="E995" s="2">
        <v>0.17</v>
      </c>
      <c r="F995" s="2">
        <v>50.0</v>
      </c>
      <c r="G995" s="3">
        <v>44462.967234571755</v>
      </c>
      <c r="H995" s="5">
        <f>IFERROR(__xludf.DUMMYFUNCTION("SPLIT(G995,"","")"),44462.0)</f>
        <v>44462</v>
      </c>
      <c r="I995" s="6">
        <f>IFERROR(__xludf.DUMMYFUNCTION("""COMPUTED_VALUE"""),0.9672337962962962)</f>
        <v>0.9672337963</v>
      </c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  <row r="1001">
      <c r="G1001" s="3"/>
    </row>
    <row r="1002">
      <c r="G1002" s="3"/>
    </row>
    <row r="1003">
      <c r="G1003" s="3"/>
    </row>
    <row r="1004">
      <c r="G1004" s="3"/>
    </row>
    <row r="1005">
      <c r="G1005" s="3"/>
    </row>
    <row r="1006">
      <c r="G1006" s="3"/>
    </row>
    <row r="1007">
      <c r="G1007" s="3"/>
    </row>
    <row r="1008">
      <c r="G1008" s="3"/>
    </row>
    <row r="1009">
      <c r="G1009" s="3"/>
    </row>
    <row r="1010">
      <c r="G1010" s="3"/>
    </row>
    <row r="1011">
      <c r="G1011" s="3"/>
    </row>
    <row r="1012">
      <c r="G1012" s="3"/>
    </row>
    <row r="1013">
      <c r="G1013" s="3"/>
    </row>
    <row r="1014">
      <c r="G1014" s="3"/>
    </row>
    <row r="1015">
      <c r="G1015" s="3"/>
    </row>
    <row r="1016">
      <c r="G1016" s="3"/>
    </row>
    <row r="1017">
      <c r="G1017" s="3"/>
    </row>
    <row r="1018">
      <c r="G1018" s="3"/>
    </row>
    <row r="1019">
      <c r="G1019" s="3"/>
    </row>
    <row r="1020">
      <c r="G1020" s="3"/>
    </row>
    <row r="1021">
      <c r="G1021" s="3"/>
    </row>
    <row r="1022">
      <c r="G1022" s="3"/>
    </row>
    <row r="1023">
      <c r="G1023" s="3"/>
    </row>
    <row r="1024">
      <c r="G1024" s="3"/>
    </row>
    <row r="1025">
      <c r="G1025" s="3"/>
    </row>
    <row r="1026">
      <c r="G1026" s="3"/>
    </row>
    <row r="1027">
      <c r="G1027" s="3"/>
    </row>
    <row r="1028">
      <c r="G1028" s="3"/>
    </row>
    <row r="1029">
      <c r="G1029" s="3"/>
    </row>
    <row r="1030">
      <c r="G1030" s="3"/>
    </row>
    <row r="1031">
      <c r="G1031" s="3"/>
    </row>
    <row r="1032">
      <c r="G1032" s="3"/>
    </row>
    <row r="1033">
      <c r="G1033" s="3"/>
    </row>
    <row r="1034">
      <c r="G1034" s="3"/>
    </row>
    <row r="1035">
      <c r="G1035" s="3"/>
    </row>
    <row r="1036">
      <c r="G1036" s="3"/>
    </row>
    <row r="1037">
      <c r="G1037" s="3"/>
    </row>
    <row r="1038">
      <c r="G1038" s="3"/>
    </row>
    <row r="1039">
      <c r="G1039" s="3"/>
    </row>
    <row r="1040">
      <c r="G1040" s="3"/>
    </row>
    <row r="1041">
      <c r="G1041" s="3"/>
    </row>
    <row r="1042">
      <c r="G1042" s="3"/>
    </row>
    <row r="1043">
      <c r="G1043" s="3"/>
    </row>
    <row r="1044">
      <c r="G1044" s="3"/>
    </row>
    <row r="1045">
      <c r="G1045" s="3"/>
    </row>
    <row r="1046">
      <c r="G1046" s="3"/>
    </row>
    <row r="1047">
      <c r="G1047" s="3"/>
    </row>
    <row r="1048">
      <c r="G1048" s="3"/>
    </row>
    <row r="1049">
      <c r="G1049" s="3"/>
    </row>
    <row r="1050">
      <c r="G1050" s="3"/>
    </row>
    <row r="1051">
      <c r="G1051" s="3"/>
    </row>
    <row r="1052">
      <c r="G1052" s="3"/>
    </row>
    <row r="1053">
      <c r="G1053" s="3"/>
    </row>
    <row r="1054">
      <c r="G1054" s="3"/>
    </row>
    <row r="1055">
      <c r="G1055" s="3"/>
    </row>
    <row r="1056">
      <c r="G1056" s="3"/>
    </row>
    <row r="1057">
      <c r="G1057" s="3"/>
    </row>
    <row r="1058">
      <c r="G1058" s="3"/>
    </row>
    <row r="1059">
      <c r="G1059" s="3"/>
    </row>
    <row r="1060">
      <c r="G1060" s="3"/>
    </row>
    <row r="1061">
      <c r="G1061" s="3"/>
    </row>
    <row r="1062">
      <c r="G1062" s="3"/>
    </row>
    <row r="1063">
      <c r="G1063" s="3"/>
    </row>
    <row r="1064">
      <c r="G1064" s="3"/>
    </row>
    <row r="1065">
      <c r="G1065" s="3"/>
    </row>
    <row r="1066">
      <c r="G1066" s="3"/>
    </row>
    <row r="1067">
      <c r="G1067" s="3"/>
    </row>
    <row r="1068">
      <c r="G1068" s="3"/>
    </row>
    <row r="1069">
      <c r="G1069" s="3"/>
    </row>
    <row r="1070">
      <c r="G1070" s="3"/>
    </row>
    <row r="1071">
      <c r="G1071" s="3"/>
    </row>
    <row r="1072">
      <c r="G1072" s="3"/>
    </row>
    <row r="1073">
      <c r="G1073" s="3"/>
    </row>
    <row r="1074">
      <c r="G1074" s="3"/>
    </row>
    <row r="1075">
      <c r="G1075" s="3"/>
    </row>
    <row r="1076">
      <c r="G1076" s="3"/>
    </row>
    <row r="1077">
      <c r="G1077" s="3"/>
    </row>
    <row r="1078">
      <c r="G1078" s="3"/>
    </row>
    <row r="1079">
      <c r="G1079" s="3"/>
    </row>
    <row r="1080">
      <c r="G1080" s="3"/>
    </row>
    <row r="1081">
      <c r="G1081" s="3"/>
    </row>
    <row r="1082">
      <c r="G1082" s="3"/>
    </row>
    <row r="1083">
      <c r="G1083" s="3"/>
    </row>
    <row r="1084">
      <c r="G1084" s="3"/>
    </row>
    <row r="1085">
      <c r="G1085" s="3"/>
    </row>
    <row r="1086">
      <c r="G1086" s="3"/>
    </row>
    <row r="1087">
      <c r="G1087" s="3"/>
    </row>
    <row r="1088">
      <c r="G1088" s="3"/>
    </row>
    <row r="1089">
      <c r="G1089" s="3"/>
    </row>
    <row r="1090">
      <c r="G1090" s="3"/>
    </row>
    <row r="1091">
      <c r="G1091" s="3"/>
    </row>
    <row r="1092">
      <c r="G1092" s="3"/>
    </row>
    <row r="1093">
      <c r="G1093" s="3"/>
    </row>
    <row r="1094">
      <c r="G1094" s="3"/>
    </row>
    <row r="1095">
      <c r="G1095" s="3"/>
    </row>
    <row r="1096">
      <c r="G1096" s="3"/>
    </row>
    <row r="1097">
      <c r="G1097" s="3"/>
    </row>
    <row r="1098">
      <c r="G1098" s="3"/>
    </row>
    <row r="1099">
      <c r="G1099" s="3"/>
    </row>
    <row r="1100">
      <c r="G1100" s="3"/>
    </row>
    <row r="1101">
      <c r="G1101" s="3"/>
    </row>
    <row r="1102">
      <c r="G1102" s="3"/>
    </row>
    <row r="1103">
      <c r="G1103" s="3"/>
    </row>
    <row r="1104">
      <c r="G1104" s="3"/>
    </row>
    <row r="1105">
      <c r="G1105" s="3"/>
    </row>
    <row r="1106">
      <c r="G1106" s="3"/>
    </row>
    <row r="1107">
      <c r="G1107" s="3"/>
    </row>
    <row r="1108">
      <c r="G1108" s="3"/>
    </row>
    <row r="1109">
      <c r="G1109" s="3"/>
    </row>
    <row r="1110">
      <c r="G1110" s="3"/>
    </row>
    <row r="1111">
      <c r="G1111" s="3"/>
    </row>
    <row r="1112">
      <c r="G1112" s="3"/>
    </row>
    <row r="1113">
      <c r="G1113" s="3"/>
    </row>
    <row r="1114">
      <c r="G1114" s="3"/>
    </row>
    <row r="1115">
      <c r="G1115" s="3"/>
    </row>
    <row r="1116">
      <c r="G1116" s="3"/>
    </row>
    <row r="1117">
      <c r="G1117" s="3"/>
    </row>
    <row r="1118">
      <c r="G1118" s="3"/>
    </row>
    <row r="1119">
      <c r="G1119" s="3"/>
    </row>
    <row r="1120">
      <c r="G1120" s="3"/>
    </row>
    <row r="1121">
      <c r="G1121" s="3"/>
    </row>
    <row r="1122">
      <c r="G1122" s="3"/>
    </row>
    <row r="1123">
      <c r="G1123" s="3"/>
    </row>
    <row r="1124">
      <c r="G1124" s="3"/>
    </row>
    <row r="1125">
      <c r="G1125" s="3"/>
    </row>
    <row r="1126">
      <c r="G1126" s="3"/>
    </row>
    <row r="1127">
      <c r="G1127" s="3"/>
    </row>
    <row r="1128">
      <c r="G1128" s="3"/>
    </row>
    <row r="1129">
      <c r="G1129" s="3"/>
    </row>
    <row r="1130">
      <c r="G1130" s="3"/>
    </row>
    <row r="1131">
      <c r="G1131" s="3"/>
    </row>
    <row r="1132">
      <c r="G1132" s="3"/>
    </row>
    <row r="1133">
      <c r="G1133" s="3"/>
    </row>
    <row r="1134">
      <c r="G1134" s="3"/>
    </row>
    <row r="1135">
      <c r="G1135" s="3"/>
    </row>
    <row r="1136">
      <c r="G1136" s="3"/>
    </row>
    <row r="1137">
      <c r="G1137" s="3"/>
    </row>
    <row r="1138">
      <c r="G1138" s="3"/>
    </row>
    <row r="1139">
      <c r="G1139" s="3"/>
    </row>
    <row r="1140">
      <c r="G1140" s="3"/>
    </row>
    <row r="1141">
      <c r="G1141" s="3"/>
    </row>
    <row r="1142">
      <c r="G1142" s="3"/>
    </row>
    <row r="1143">
      <c r="G1143" s="3"/>
    </row>
    <row r="1144">
      <c r="G1144" s="3"/>
    </row>
    <row r="1145">
      <c r="G1145" s="3"/>
    </row>
    <row r="1146">
      <c r="G1146" s="3"/>
    </row>
    <row r="1147">
      <c r="G1147" s="3"/>
    </row>
    <row r="1148">
      <c r="G1148" s="3"/>
    </row>
    <row r="1149">
      <c r="G1149" s="3"/>
    </row>
    <row r="1150">
      <c r="G1150" s="3"/>
    </row>
    <row r="1151">
      <c r="G1151" s="3"/>
    </row>
    <row r="1152">
      <c r="G1152" s="3"/>
    </row>
    <row r="1153">
      <c r="G1153" s="3"/>
    </row>
    <row r="1154">
      <c r="G1154" s="3"/>
    </row>
    <row r="1155">
      <c r="G1155" s="3"/>
    </row>
    <row r="1156">
      <c r="G1156" s="3"/>
    </row>
    <row r="1157">
      <c r="G1157" s="3"/>
    </row>
    <row r="1158">
      <c r="G1158" s="3"/>
    </row>
    <row r="1159">
      <c r="G1159" s="3"/>
    </row>
    <row r="1160">
      <c r="G1160" s="3"/>
    </row>
    <row r="1161">
      <c r="G1161" s="3"/>
    </row>
    <row r="1162">
      <c r="G1162" s="3"/>
    </row>
    <row r="1163">
      <c r="G1163" s="3"/>
    </row>
    <row r="1164">
      <c r="G1164" s="3"/>
    </row>
    <row r="1165">
      <c r="G1165" s="3"/>
    </row>
    <row r="1166">
      <c r="G1166" s="3"/>
    </row>
    <row r="1167">
      <c r="G1167" s="3"/>
    </row>
    <row r="1168">
      <c r="G1168" s="3"/>
    </row>
    <row r="1169">
      <c r="G1169" s="3"/>
    </row>
    <row r="1170">
      <c r="G1170" s="3"/>
    </row>
    <row r="1171">
      <c r="G1171" s="3"/>
    </row>
    <row r="1172">
      <c r="G1172" s="3"/>
    </row>
    <row r="1173">
      <c r="G1173" s="3"/>
    </row>
    <row r="1174">
      <c r="G1174" s="3"/>
    </row>
    <row r="1175">
      <c r="G1175" s="3"/>
    </row>
    <row r="1176">
      <c r="G1176" s="3"/>
    </row>
    <row r="1177">
      <c r="G1177" s="3"/>
    </row>
    <row r="1178">
      <c r="G1178" s="3"/>
    </row>
    <row r="1179">
      <c r="G1179" s="3"/>
    </row>
    <row r="1180">
      <c r="G1180" s="3"/>
    </row>
    <row r="1181">
      <c r="G1181" s="3"/>
    </row>
    <row r="1182">
      <c r="G1182" s="3"/>
    </row>
    <row r="1183">
      <c r="G1183" s="3"/>
    </row>
    <row r="1184">
      <c r="G1184" s="3"/>
    </row>
    <row r="1185">
      <c r="G1185" s="3"/>
    </row>
    <row r="1186">
      <c r="G1186" s="3"/>
    </row>
    <row r="1187">
      <c r="G1187" s="3"/>
    </row>
    <row r="1188">
      <c r="G1188" s="3"/>
    </row>
    <row r="1189">
      <c r="G1189" s="3"/>
    </row>
    <row r="1190">
      <c r="G1190" s="3"/>
    </row>
    <row r="1191">
      <c r="G1191" s="3"/>
    </row>
    <row r="1192">
      <c r="G1192" s="3"/>
    </row>
    <row r="1193">
      <c r="G1193" s="3"/>
    </row>
    <row r="1194">
      <c r="G1194" s="3"/>
    </row>
    <row r="1195">
      <c r="G1195" s="3"/>
    </row>
    <row r="1196">
      <c r="G1196" s="3"/>
    </row>
    <row r="1197">
      <c r="G1197" s="3"/>
    </row>
    <row r="1198">
      <c r="G1198" s="3"/>
    </row>
    <row r="1199">
      <c r="G1199" s="3"/>
    </row>
    <row r="1200">
      <c r="G1200" s="3"/>
    </row>
    <row r="1201">
      <c r="G1201" s="3"/>
    </row>
    <row r="1202">
      <c r="G1202" s="3"/>
    </row>
    <row r="1203">
      <c r="G1203" s="3"/>
    </row>
    <row r="1204">
      <c r="G1204" s="3"/>
    </row>
    <row r="1205">
      <c r="G1205" s="3"/>
    </row>
    <row r="1206">
      <c r="G1206" s="3"/>
    </row>
    <row r="1207">
      <c r="G1207" s="3"/>
    </row>
    <row r="1208">
      <c r="G1208" s="3"/>
    </row>
    <row r="1209">
      <c r="G1209" s="3"/>
    </row>
    <row r="1210">
      <c r="G1210" s="3"/>
    </row>
    <row r="1211">
      <c r="G1211" s="3"/>
    </row>
    <row r="1212">
      <c r="G1212" s="3"/>
    </row>
    <row r="1213">
      <c r="G1213" s="3"/>
    </row>
    <row r="1214">
      <c r="G1214" s="3"/>
    </row>
    <row r="1215">
      <c r="G1215" s="3"/>
    </row>
    <row r="1216">
      <c r="G1216" s="3"/>
    </row>
    <row r="1217">
      <c r="G1217" s="3"/>
    </row>
    <row r="1218">
      <c r="G1218" s="3"/>
    </row>
    <row r="1219">
      <c r="G1219" s="3"/>
    </row>
    <row r="1220">
      <c r="G1220" s="3"/>
    </row>
    <row r="1221">
      <c r="G1221" s="3"/>
    </row>
    <row r="1222">
      <c r="G1222" s="3"/>
    </row>
    <row r="1223">
      <c r="G1223" s="3"/>
    </row>
    <row r="1224">
      <c r="G1224" s="3"/>
    </row>
    <row r="1225">
      <c r="G1225" s="3"/>
    </row>
    <row r="1226">
      <c r="G1226" s="3"/>
    </row>
    <row r="1227">
      <c r="G1227" s="3"/>
    </row>
    <row r="1228">
      <c r="G1228" s="3"/>
    </row>
    <row r="1229">
      <c r="G1229" s="3"/>
    </row>
    <row r="1230">
      <c r="G1230" s="3"/>
    </row>
    <row r="1231">
      <c r="G1231" s="3"/>
    </row>
    <row r="1232">
      <c r="G1232" s="3"/>
    </row>
    <row r="1233">
      <c r="G1233" s="3"/>
    </row>
    <row r="1234">
      <c r="G1234" s="3"/>
    </row>
    <row r="1235">
      <c r="G1235" s="3"/>
    </row>
    <row r="1236">
      <c r="G1236" s="3"/>
    </row>
    <row r="1237">
      <c r="G1237" s="3"/>
    </row>
    <row r="1238">
      <c r="G1238" s="3"/>
    </row>
    <row r="1239">
      <c r="G1239" s="3"/>
    </row>
    <row r="1240">
      <c r="G1240" s="3"/>
    </row>
    <row r="1241">
      <c r="G1241" s="3"/>
    </row>
    <row r="1242">
      <c r="G1242" s="3"/>
    </row>
    <row r="1243">
      <c r="G1243" s="3"/>
    </row>
    <row r="1244">
      <c r="G1244" s="3"/>
    </row>
    <row r="1245">
      <c r="G1245" s="3"/>
    </row>
    <row r="1246">
      <c r="G1246" s="3"/>
    </row>
    <row r="1247">
      <c r="G1247" s="3"/>
    </row>
    <row r="1248">
      <c r="G1248" s="3"/>
    </row>
    <row r="1249">
      <c r="G1249" s="3"/>
    </row>
    <row r="1250">
      <c r="G1250" s="3"/>
    </row>
    <row r="1251">
      <c r="G1251" s="3"/>
    </row>
    <row r="1252">
      <c r="G1252" s="3"/>
    </row>
    <row r="1253">
      <c r="G1253" s="3"/>
    </row>
    <row r="1254">
      <c r="G1254" s="3"/>
    </row>
    <row r="1255">
      <c r="G1255" s="3"/>
    </row>
    <row r="1256">
      <c r="G1256" s="3"/>
    </row>
    <row r="1257">
      <c r="G1257" s="3"/>
    </row>
    <row r="1258">
      <c r="G1258" s="3"/>
    </row>
    <row r="1259">
      <c r="G1259" s="3"/>
    </row>
    <row r="1260">
      <c r="G1260" s="3"/>
    </row>
    <row r="1261">
      <c r="G1261" s="3"/>
    </row>
    <row r="1262">
      <c r="G1262" s="3"/>
    </row>
    <row r="1263">
      <c r="G1263" s="3"/>
    </row>
    <row r="1264">
      <c r="G1264" s="3"/>
    </row>
    <row r="1265">
      <c r="G1265" s="3"/>
    </row>
    <row r="1266">
      <c r="G1266" s="3"/>
    </row>
    <row r="1267">
      <c r="G1267" s="3"/>
    </row>
    <row r="1268">
      <c r="G1268" s="3"/>
    </row>
    <row r="1269">
      <c r="G1269" s="3"/>
    </row>
    <row r="1270">
      <c r="G1270" s="3"/>
    </row>
    <row r="1271">
      <c r="G1271" s="3"/>
    </row>
    <row r="1272">
      <c r="G1272" s="3"/>
    </row>
    <row r="1273">
      <c r="G1273" s="3"/>
    </row>
    <row r="1274">
      <c r="G1274" s="3"/>
    </row>
    <row r="1275">
      <c r="G1275" s="3"/>
    </row>
    <row r="1276">
      <c r="G1276" s="3"/>
    </row>
    <row r="1277">
      <c r="G1277" s="3"/>
    </row>
    <row r="1278">
      <c r="G1278" s="3"/>
    </row>
    <row r="1279">
      <c r="G1279" s="3"/>
    </row>
    <row r="1280">
      <c r="G1280" s="3"/>
    </row>
    <row r="1281">
      <c r="G1281" s="3"/>
    </row>
    <row r="1282">
      <c r="G1282" s="3"/>
    </row>
    <row r="1283">
      <c r="G1283" s="3"/>
    </row>
    <row r="1284">
      <c r="G1284" s="3"/>
    </row>
    <row r="1285">
      <c r="G1285" s="3"/>
    </row>
    <row r="1286">
      <c r="G1286" s="3"/>
    </row>
    <row r="1287">
      <c r="G1287" s="3"/>
    </row>
    <row r="1288">
      <c r="G1288" s="3"/>
    </row>
    <row r="1289">
      <c r="G1289" s="3"/>
    </row>
    <row r="1290">
      <c r="G1290" s="3"/>
    </row>
    <row r="1291">
      <c r="G1291" s="3"/>
    </row>
    <row r="1292">
      <c r="G1292" s="3"/>
    </row>
    <row r="1293">
      <c r="G1293" s="3"/>
    </row>
    <row r="1294">
      <c r="G1294" s="3"/>
    </row>
    <row r="1295">
      <c r="G1295" s="3"/>
    </row>
    <row r="1296">
      <c r="G1296" s="3"/>
    </row>
    <row r="1297">
      <c r="G1297" s="3"/>
    </row>
    <row r="1298">
      <c r="G1298" s="3"/>
    </row>
    <row r="1299">
      <c r="G1299" s="3"/>
    </row>
    <row r="1300">
      <c r="G1300" s="3"/>
    </row>
    <row r="1301">
      <c r="G1301" s="3"/>
    </row>
    <row r="1302">
      <c r="G1302" s="3"/>
    </row>
    <row r="1303">
      <c r="G1303" s="3"/>
    </row>
    <row r="1304">
      <c r="G1304" s="3"/>
    </row>
    <row r="1305">
      <c r="G1305" s="3"/>
    </row>
    <row r="1306">
      <c r="G1306" s="3"/>
    </row>
    <row r="1307">
      <c r="G1307" s="3"/>
    </row>
    <row r="1308">
      <c r="G1308" s="3"/>
    </row>
    <row r="1309">
      <c r="G1309" s="3"/>
    </row>
    <row r="1310">
      <c r="G1310" s="3"/>
    </row>
    <row r="1311">
      <c r="G1311" s="3"/>
    </row>
    <row r="1312">
      <c r="G1312" s="3"/>
    </row>
    <row r="1313">
      <c r="G1313" s="3"/>
    </row>
    <row r="1314">
      <c r="G1314" s="3"/>
    </row>
    <row r="1315">
      <c r="G1315" s="3"/>
    </row>
    <row r="1316">
      <c r="G1316" s="3"/>
    </row>
    <row r="1317">
      <c r="G1317" s="3"/>
    </row>
    <row r="1318">
      <c r="G1318" s="3"/>
    </row>
    <row r="1319">
      <c r="G1319" s="3"/>
    </row>
    <row r="1320">
      <c r="G1320" s="3"/>
    </row>
    <row r="1321">
      <c r="G1321" s="3"/>
    </row>
    <row r="1322">
      <c r="G1322" s="3"/>
    </row>
    <row r="1323">
      <c r="G1323" s="3"/>
    </row>
    <row r="1324">
      <c r="G1324" s="3"/>
    </row>
    <row r="1325">
      <c r="G1325" s="3"/>
    </row>
    <row r="1326">
      <c r="G1326" s="3"/>
    </row>
    <row r="1327">
      <c r="G1327" s="3"/>
    </row>
    <row r="1328">
      <c r="G1328" s="3"/>
    </row>
    <row r="1329">
      <c r="G1329" s="3"/>
    </row>
    <row r="1330">
      <c r="G1330" s="3"/>
    </row>
    <row r="1331">
      <c r="G1331" s="3"/>
    </row>
    <row r="1332">
      <c r="G1332" s="3"/>
    </row>
    <row r="1333">
      <c r="G1333" s="3"/>
    </row>
    <row r="1334">
      <c r="G1334" s="3"/>
    </row>
    <row r="1335">
      <c r="G1335" s="3"/>
    </row>
    <row r="1336">
      <c r="G1336" s="3"/>
    </row>
    <row r="1337">
      <c r="G1337" s="3"/>
    </row>
    <row r="1338">
      <c r="G1338" s="3"/>
    </row>
    <row r="1339">
      <c r="G1339" s="3"/>
    </row>
    <row r="1340">
      <c r="G1340" s="3"/>
    </row>
    <row r="1341">
      <c r="G1341" s="3"/>
    </row>
    <row r="1342">
      <c r="G1342" s="3"/>
    </row>
    <row r="1343">
      <c r="G1343" s="3"/>
    </row>
    <row r="1344">
      <c r="G1344" s="3"/>
    </row>
    <row r="1345">
      <c r="G1345" s="3"/>
    </row>
    <row r="1346">
      <c r="G1346" s="3"/>
    </row>
    <row r="1347">
      <c r="G1347" s="3"/>
    </row>
    <row r="1348">
      <c r="G1348" s="3"/>
    </row>
    <row r="1349">
      <c r="G1349" s="3"/>
    </row>
    <row r="1350">
      <c r="G1350" s="3"/>
    </row>
    <row r="1351">
      <c r="G1351" s="3"/>
    </row>
    <row r="1352">
      <c r="G1352" s="3"/>
    </row>
    <row r="1353">
      <c r="G1353" s="3"/>
    </row>
    <row r="1354">
      <c r="G1354" s="3"/>
    </row>
    <row r="1355">
      <c r="G1355" s="3"/>
    </row>
    <row r="1356">
      <c r="G1356" s="3"/>
    </row>
    <row r="1357">
      <c r="G1357" s="3"/>
    </row>
    <row r="1358">
      <c r="G1358" s="3"/>
    </row>
    <row r="1359">
      <c r="G1359" s="3"/>
    </row>
    <row r="1360">
      <c r="G1360" s="3"/>
    </row>
    <row r="1361">
      <c r="G1361" s="3"/>
    </row>
    <row r="1362">
      <c r="G1362" s="3"/>
    </row>
    <row r="1363">
      <c r="G1363" s="3"/>
    </row>
    <row r="1364">
      <c r="G1364" s="3"/>
    </row>
    <row r="1365">
      <c r="G1365" s="3"/>
    </row>
    <row r="1366">
      <c r="G1366" s="3"/>
    </row>
    <row r="1367">
      <c r="G1367" s="3"/>
    </row>
    <row r="1368">
      <c r="G1368" s="3"/>
    </row>
    <row r="1369">
      <c r="G1369" s="3"/>
    </row>
    <row r="1370">
      <c r="G1370" s="3"/>
    </row>
    <row r="1371">
      <c r="G1371" s="3"/>
    </row>
    <row r="1372">
      <c r="G1372" s="3"/>
    </row>
    <row r="1373">
      <c r="G1373" s="3"/>
    </row>
    <row r="1374">
      <c r="G1374" s="3"/>
    </row>
    <row r="1375">
      <c r="G1375" s="3"/>
    </row>
    <row r="1376">
      <c r="G1376" s="3"/>
    </row>
    <row r="1377">
      <c r="G1377" s="3"/>
    </row>
    <row r="1378">
      <c r="G1378" s="3"/>
    </row>
    <row r="1379">
      <c r="G1379" s="3"/>
    </row>
    <row r="1380">
      <c r="G1380" s="3"/>
    </row>
    <row r="1381">
      <c r="G1381" s="3"/>
    </row>
    <row r="1382">
      <c r="G1382" s="3"/>
    </row>
    <row r="1383">
      <c r="G1383" s="3"/>
    </row>
    <row r="1384">
      <c r="G1384" s="3"/>
    </row>
    <row r="1385">
      <c r="G1385" s="3"/>
    </row>
    <row r="1386">
      <c r="G1386" s="3"/>
    </row>
    <row r="1387">
      <c r="G1387" s="3"/>
    </row>
    <row r="1388">
      <c r="G1388" s="3"/>
    </row>
    <row r="1389">
      <c r="G1389" s="3"/>
    </row>
    <row r="1390">
      <c r="G1390" s="3"/>
    </row>
    <row r="1391">
      <c r="G1391" s="3"/>
    </row>
    <row r="1392">
      <c r="G1392" s="3"/>
    </row>
    <row r="1393">
      <c r="G1393" s="3"/>
    </row>
    <row r="1394">
      <c r="G1394" s="3"/>
    </row>
    <row r="1395">
      <c r="G1395" s="3"/>
    </row>
    <row r="1396">
      <c r="G1396" s="3"/>
    </row>
    <row r="1397">
      <c r="G1397" s="3"/>
    </row>
    <row r="1398">
      <c r="G1398" s="3"/>
    </row>
    <row r="1399">
      <c r="G1399" s="3"/>
    </row>
    <row r="1400">
      <c r="G1400" s="3"/>
    </row>
    <row r="1401">
      <c r="G1401" s="3"/>
    </row>
    <row r="1402">
      <c r="G1402" s="3"/>
    </row>
    <row r="1403">
      <c r="G1403" s="3"/>
    </row>
    <row r="1404">
      <c r="G1404" s="3"/>
    </row>
    <row r="1405">
      <c r="G1405" s="3"/>
    </row>
    <row r="1406">
      <c r="G1406" s="3"/>
    </row>
    <row r="1407">
      <c r="G1407" s="3"/>
    </row>
    <row r="1408">
      <c r="G1408" s="3"/>
    </row>
    <row r="1409">
      <c r="G1409" s="3"/>
    </row>
    <row r="1410">
      <c r="G1410" s="3"/>
    </row>
    <row r="1411">
      <c r="G1411" s="3"/>
    </row>
    <row r="1412">
      <c r="G1412" s="3"/>
    </row>
    <row r="1413">
      <c r="G1413" s="3"/>
    </row>
    <row r="1414">
      <c r="G1414" s="3"/>
    </row>
    <row r="1415">
      <c r="G1415" s="3"/>
    </row>
    <row r="1416">
      <c r="G1416" s="3"/>
    </row>
    <row r="1417">
      <c r="G1417" s="3"/>
    </row>
    <row r="1418">
      <c r="G1418" s="3"/>
    </row>
    <row r="1419">
      <c r="G1419" s="3"/>
    </row>
    <row r="1420">
      <c r="G1420" s="3"/>
    </row>
    <row r="1421">
      <c r="G1421" s="3"/>
    </row>
    <row r="1422">
      <c r="G1422" s="3"/>
    </row>
    <row r="1423">
      <c r="G1423" s="3"/>
    </row>
    <row r="1424">
      <c r="G1424" s="3"/>
    </row>
    <row r="1425">
      <c r="G1425" s="3"/>
    </row>
    <row r="1426">
      <c r="G1426" s="3"/>
    </row>
    <row r="1427">
      <c r="G1427" s="3"/>
    </row>
    <row r="1428">
      <c r="G1428" s="3"/>
    </row>
    <row r="1429">
      <c r="G1429" s="3"/>
    </row>
    <row r="1430">
      <c r="G1430" s="3"/>
    </row>
    <row r="1431">
      <c r="G1431" s="3"/>
    </row>
    <row r="1432">
      <c r="G1432" s="3"/>
    </row>
    <row r="1433">
      <c r="G1433" s="3"/>
    </row>
    <row r="1434">
      <c r="G1434" s="3"/>
    </row>
    <row r="1435">
      <c r="G1435" s="3"/>
    </row>
    <row r="1436">
      <c r="G1436" s="3"/>
    </row>
    <row r="1437">
      <c r="G1437" s="3"/>
    </row>
    <row r="1438">
      <c r="G1438" s="3"/>
    </row>
    <row r="1439">
      <c r="G1439" s="3"/>
    </row>
    <row r="1440">
      <c r="G1440" s="3"/>
    </row>
    <row r="1441">
      <c r="G1441" s="3"/>
    </row>
    <row r="1442">
      <c r="G1442" s="3"/>
    </row>
    <row r="1443">
      <c r="G1443" s="3"/>
    </row>
    <row r="1444">
      <c r="G1444" s="3"/>
    </row>
    <row r="1445">
      <c r="G1445" s="3"/>
    </row>
    <row r="1446">
      <c r="G1446" s="3"/>
    </row>
    <row r="1447">
      <c r="G1447" s="3"/>
    </row>
    <row r="1448">
      <c r="G1448" s="3"/>
    </row>
    <row r="1449">
      <c r="G1449" s="3"/>
    </row>
    <row r="1450">
      <c r="G1450" s="3"/>
    </row>
    <row r="1451">
      <c r="G1451" s="3"/>
    </row>
    <row r="1452">
      <c r="G1452" s="3"/>
    </row>
    <row r="1453">
      <c r="G1453" s="3"/>
    </row>
    <row r="1454">
      <c r="G1454" s="3"/>
    </row>
    <row r="1455">
      <c r="G1455" s="3"/>
    </row>
    <row r="1456">
      <c r="G1456" s="3"/>
    </row>
    <row r="1457">
      <c r="G1457" s="3"/>
    </row>
    <row r="1458">
      <c r="G1458" s="3"/>
    </row>
    <row r="1459">
      <c r="G1459" s="3"/>
    </row>
    <row r="1460">
      <c r="G1460" s="3"/>
    </row>
    <row r="1461">
      <c r="G1461" s="3"/>
    </row>
    <row r="1462">
      <c r="G1462" s="3"/>
    </row>
    <row r="1463">
      <c r="G1463" s="3"/>
    </row>
    <row r="1464">
      <c r="G1464" s="3"/>
    </row>
    <row r="1465">
      <c r="G1465" s="3"/>
    </row>
    <row r="1466">
      <c r="G1466" s="3"/>
    </row>
    <row r="1467">
      <c r="G1467" s="3"/>
    </row>
    <row r="1468">
      <c r="G1468" s="3"/>
    </row>
    <row r="1469">
      <c r="G1469" s="3"/>
    </row>
    <row r="1470">
      <c r="G1470" s="3"/>
    </row>
    <row r="1471">
      <c r="G1471" s="3"/>
    </row>
    <row r="1472">
      <c r="G1472" s="3"/>
    </row>
    <row r="1473">
      <c r="G1473" s="3"/>
    </row>
    <row r="1474">
      <c r="G1474" s="3"/>
    </row>
    <row r="1475">
      <c r="G1475" s="3"/>
    </row>
    <row r="1476">
      <c r="G1476" s="3"/>
    </row>
    <row r="1477">
      <c r="G1477" s="3"/>
    </row>
    <row r="1478">
      <c r="G1478" s="3"/>
    </row>
    <row r="1479">
      <c r="G1479" s="3"/>
    </row>
    <row r="1480">
      <c r="G1480" s="3"/>
    </row>
    <row r="1481">
      <c r="G1481" s="3"/>
    </row>
    <row r="1482">
      <c r="G1482" s="3"/>
    </row>
    <row r="1483">
      <c r="G1483" s="3"/>
    </row>
    <row r="1484">
      <c r="G1484" s="3"/>
    </row>
    <row r="1485">
      <c r="G1485" s="3"/>
    </row>
    <row r="1486">
      <c r="G1486" s="3"/>
    </row>
    <row r="1487">
      <c r="G1487" s="3"/>
    </row>
    <row r="1488">
      <c r="G1488" s="3"/>
    </row>
    <row r="1489">
      <c r="G1489" s="3"/>
    </row>
    <row r="1490">
      <c r="G1490" s="3"/>
    </row>
    <row r="1491">
      <c r="G1491" s="3"/>
    </row>
    <row r="1492">
      <c r="G1492" s="3"/>
    </row>
    <row r="1493">
      <c r="G1493" s="3"/>
    </row>
    <row r="1494">
      <c r="G1494" s="3"/>
    </row>
    <row r="1495">
      <c r="G1495" s="3"/>
    </row>
    <row r="1496">
      <c r="G1496" s="3"/>
    </row>
    <row r="1497">
      <c r="G1497" s="3"/>
    </row>
    <row r="1498">
      <c r="G1498" s="3"/>
    </row>
    <row r="1499">
      <c r="G1499" s="3"/>
    </row>
    <row r="1500">
      <c r="G1500" s="3"/>
    </row>
    <row r="1501">
      <c r="G1501" s="3"/>
    </row>
    <row r="1502">
      <c r="G1502" s="3"/>
    </row>
    <row r="1503">
      <c r="G1503" s="3"/>
    </row>
    <row r="1504">
      <c r="G1504" s="3"/>
    </row>
    <row r="1505">
      <c r="G1505" s="3"/>
    </row>
    <row r="1506">
      <c r="G1506" s="3"/>
    </row>
    <row r="1507">
      <c r="G1507" s="3"/>
    </row>
    <row r="1508">
      <c r="G1508" s="3"/>
    </row>
    <row r="1509">
      <c r="G1509" s="3"/>
    </row>
    <row r="1510">
      <c r="G1510" s="3"/>
    </row>
    <row r="1511">
      <c r="G1511" s="3"/>
    </row>
    <row r="1512">
      <c r="G1512" s="3"/>
    </row>
    <row r="1513">
      <c r="G1513" s="3"/>
    </row>
    <row r="1514">
      <c r="G1514" s="3"/>
    </row>
    <row r="1515">
      <c r="G1515" s="3"/>
    </row>
    <row r="1516">
      <c r="G1516" s="3"/>
    </row>
    <row r="1517">
      <c r="G1517" s="3"/>
    </row>
    <row r="1518">
      <c r="G1518" s="3"/>
    </row>
    <row r="1519">
      <c r="G1519" s="3"/>
    </row>
    <row r="1520">
      <c r="G1520" s="3"/>
    </row>
    <row r="1521">
      <c r="G1521" s="3"/>
    </row>
    <row r="1522">
      <c r="G1522" s="3"/>
    </row>
    <row r="1523">
      <c r="G1523" s="3"/>
    </row>
    <row r="1524">
      <c r="G1524" s="3"/>
    </row>
    <row r="1525">
      <c r="G1525" s="3"/>
    </row>
    <row r="1526">
      <c r="G1526" s="3"/>
    </row>
    <row r="1527">
      <c r="G1527" s="3"/>
    </row>
    <row r="1528">
      <c r="G1528" s="3"/>
    </row>
    <row r="1529">
      <c r="G1529" s="3"/>
    </row>
    <row r="1530">
      <c r="G1530" s="3"/>
    </row>
    <row r="1531">
      <c r="G1531" s="3"/>
    </row>
    <row r="1532">
      <c r="G1532" s="3"/>
    </row>
    <row r="1533">
      <c r="G1533" s="3"/>
    </row>
    <row r="1534">
      <c r="G1534" s="3"/>
    </row>
    <row r="1535">
      <c r="G1535" s="3"/>
    </row>
    <row r="1536">
      <c r="G1536" s="3"/>
    </row>
    <row r="1537">
      <c r="G1537" s="3"/>
    </row>
    <row r="1538">
      <c r="G1538" s="3"/>
    </row>
    <row r="1539">
      <c r="G1539" s="3"/>
    </row>
    <row r="1540">
      <c r="G1540" s="3"/>
    </row>
    <row r="1541">
      <c r="G1541" s="3"/>
    </row>
    <row r="1542">
      <c r="G1542" s="3"/>
    </row>
    <row r="1543">
      <c r="G1543" s="3"/>
    </row>
    <row r="1544">
      <c r="G1544" s="3"/>
    </row>
    <row r="1545">
      <c r="G1545" s="3"/>
    </row>
    <row r="1546">
      <c r="G1546" s="3"/>
    </row>
    <row r="1547">
      <c r="G1547" s="3"/>
    </row>
    <row r="1548">
      <c r="G1548" s="3"/>
    </row>
    <row r="1549">
      <c r="G1549" s="3"/>
    </row>
    <row r="1550">
      <c r="G1550" s="3"/>
    </row>
    <row r="1551">
      <c r="G1551" s="3"/>
    </row>
    <row r="1552">
      <c r="G1552" s="3"/>
    </row>
    <row r="1553">
      <c r="G1553" s="3"/>
    </row>
    <row r="1554">
      <c r="G1554" s="3"/>
    </row>
    <row r="1555">
      <c r="G1555" s="3"/>
    </row>
    <row r="1556">
      <c r="G1556" s="3"/>
    </row>
    <row r="1557">
      <c r="G1557" s="3"/>
    </row>
    <row r="1558">
      <c r="G1558" s="3"/>
    </row>
    <row r="1559">
      <c r="G1559" s="3"/>
    </row>
    <row r="1560">
      <c r="G1560" s="3"/>
    </row>
    <row r="1561">
      <c r="G1561" s="3"/>
    </row>
    <row r="1562">
      <c r="G1562" s="3"/>
    </row>
    <row r="1563">
      <c r="G1563" s="3"/>
    </row>
    <row r="1564">
      <c r="G1564" s="3"/>
    </row>
    <row r="1565">
      <c r="G1565" s="3"/>
    </row>
    <row r="1566">
      <c r="G1566" s="3"/>
    </row>
    <row r="1567">
      <c r="G1567" s="3"/>
    </row>
    <row r="1568">
      <c r="G1568" s="3"/>
    </row>
    <row r="1569">
      <c r="G1569" s="3"/>
    </row>
    <row r="1570">
      <c r="G1570" s="3"/>
    </row>
    <row r="1571">
      <c r="G1571" s="3"/>
    </row>
    <row r="1572">
      <c r="G1572" s="3"/>
    </row>
    <row r="1573">
      <c r="G1573" s="3"/>
    </row>
    <row r="1574">
      <c r="G1574" s="3"/>
    </row>
    <row r="1575">
      <c r="G1575" s="3"/>
    </row>
    <row r="1576">
      <c r="G1576" s="3"/>
    </row>
    <row r="1577">
      <c r="G1577" s="3"/>
    </row>
    <row r="1578">
      <c r="G1578" s="3"/>
    </row>
    <row r="1579">
      <c r="G1579" s="3"/>
    </row>
    <row r="1580">
      <c r="G1580" s="3"/>
    </row>
    <row r="1581">
      <c r="G1581" s="3"/>
    </row>
    <row r="1582">
      <c r="G1582" s="3"/>
    </row>
    <row r="1583">
      <c r="G1583" s="3"/>
    </row>
    <row r="1584">
      <c r="G1584" s="3"/>
    </row>
    <row r="1585">
      <c r="G1585" s="3"/>
    </row>
    <row r="1586">
      <c r="G1586" s="3"/>
    </row>
    <row r="1587">
      <c r="G1587" s="3"/>
    </row>
    <row r="1588">
      <c r="G1588" s="3"/>
    </row>
    <row r="1589">
      <c r="G1589" s="3"/>
    </row>
    <row r="1590">
      <c r="G1590" s="3"/>
    </row>
    <row r="1591">
      <c r="G1591" s="3"/>
    </row>
    <row r="1592">
      <c r="G1592" s="3"/>
    </row>
    <row r="1593">
      <c r="G1593" s="3"/>
    </row>
    <row r="1594">
      <c r="G1594" s="3"/>
    </row>
    <row r="1595">
      <c r="G1595" s="3"/>
    </row>
    <row r="1596">
      <c r="G1596" s="3"/>
    </row>
    <row r="1597">
      <c r="G1597" s="3"/>
    </row>
    <row r="1598">
      <c r="G1598" s="3"/>
    </row>
    <row r="1599">
      <c r="G1599" s="3"/>
    </row>
    <row r="1600">
      <c r="G1600" s="3"/>
    </row>
    <row r="1601">
      <c r="G1601" s="3"/>
    </row>
    <row r="1602">
      <c r="G1602" s="3"/>
    </row>
    <row r="1603">
      <c r="G1603" s="3"/>
    </row>
    <row r="1604">
      <c r="G1604" s="3"/>
    </row>
    <row r="1605">
      <c r="G1605" s="3"/>
    </row>
    <row r="1606">
      <c r="G1606" s="3"/>
    </row>
    <row r="1607">
      <c r="G1607" s="3"/>
    </row>
    <row r="1608">
      <c r="G1608" s="3"/>
    </row>
    <row r="1609">
      <c r="G1609" s="3"/>
    </row>
    <row r="1610">
      <c r="G1610" s="3"/>
    </row>
    <row r="1611">
      <c r="G1611" s="3"/>
    </row>
    <row r="1612">
      <c r="G1612" s="3"/>
    </row>
    <row r="1613">
      <c r="G1613" s="3"/>
    </row>
    <row r="1614">
      <c r="G1614" s="3"/>
    </row>
    <row r="1615">
      <c r="G1615" s="3"/>
    </row>
    <row r="1616">
      <c r="G1616" s="3"/>
    </row>
    <row r="1617">
      <c r="G1617" s="3"/>
    </row>
    <row r="1618">
      <c r="G1618" s="3"/>
    </row>
    <row r="1619">
      <c r="G1619" s="3"/>
    </row>
    <row r="1620">
      <c r="G1620" s="3"/>
    </row>
    <row r="1621">
      <c r="G1621" s="3"/>
    </row>
    <row r="1622">
      <c r="G1622" s="3"/>
    </row>
    <row r="1623">
      <c r="G1623" s="3"/>
    </row>
    <row r="1624">
      <c r="G1624" s="3"/>
    </row>
    <row r="1625">
      <c r="G1625" s="3"/>
    </row>
    <row r="1626">
      <c r="G1626" s="3"/>
    </row>
    <row r="1627">
      <c r="G1627" s="3"/>
    </row>
    <row r="1628">
      <c r="G1628" s="3"/>
    </row>
    <row r="1629">
      <c r="G1629" s="3"/>
    </row>
    <row r="1630">
      <c r="G1630" s="3"/>
    </row>
    <row r="1631">
      <c r="G1631" s="3"/>
    </row>
    <row r="1632">
      <c r="G1632" s="3"/>
    </row>
    <row r="1633">
      <c r="G1633" s="3"/>
    </row>
    <row r="1634">
      <c r="G1634" s="3"/>
    </row>
    <row r="1635">
      <c r="G1635" s="3"/>
    </row>
    <row r="1636">
      <c r="G1636" s="3"/>
    </row>
    <row r="1637">
      <c r="G1637" s="3"/>
    </row>
    <row r="1638">
      <c r="G1638" s="3"/>
    </row>
    <row r="1639">
      <c r="G1639" s="3"/>
    </row>
    <row r="1640">
      <c r="G1640" s="3"/>
    </row>
    <row r="1641">
      <c r="G1641" s="3"/>
    </row>
    <row r="1642">
      <c r="G1642" s="3"/>
    </row>
    <row r="1643">
      <c r="G1643" s="3"/>
    </row>
    <row r="1644">
      <c r="G1644" s="3"/>
    </row>
    <row r="1645">
      <c r="G1645" s="3"/>
    </row>
    <row r="1646">
      <c r="G1646" s="3"/>
    </row>
    <row r="1647">
      <c r="G1647" s="3"/>
    </row>
    <row r="1648">
      <c r="G1648" s="3"/>
    </row>
    <row r="1649">
      <c r="G1649" s="3"/>
    </row>
    <row r="1650">
      <c r="G1650" s="3"/>
    </row>
    <row r="1651">
      <c r="G1651" s="3"/>
    </row>
    <row r="1652">
      <c r="G1652" s="3"/>
    </row>
    <row r="1653">
      <c r="G1653" s="3"/>
    </row>
    <row r="1654">
      <c r="G1654" s="3"/>
    </row>
    <row r="1655">
      <c r="G1655" s="3"/>
    </row>
    <row r="1656">
      <c r="G1656" s="3"/>
    </row>
    <row r="1657">
      <c r="G1657" s="3"/>
    </row>
    <row r="1658">
      <c r="G1658" s="3"/>
    </row>
    <row r="1659">
      <c r="G1659" s="3"/>
    </row>
    <row r="1660">
      <c r="G1660" s="3"/>
    </row>
    <row r="1661">
      <c r="G1661" s="3"/>
    </row>
    <row r="1662">
      <c r="G1662" s="3"/>
    </row>
    <row r="1663">
      <c r="G1663" s="3"/>
    </row>
    <row r="1664">
      <c r="G1664" s="3"/>
    </row>
    <row r="1665">
      <c r="G1665" s="3"/>
    </row>
    <row r="1666">
      <c r="G1666" s="3"/>
    </row>
    <row r="1667">
      <c r="G1667" s="3"/>
    </row>
    <row r="1668">
      <c r="G1668" s="3"/>
    </row>
    <row r="1669">
      <c r="G1669" s="3"/>
    </row>
    <row r="1670">
      <c r="G1670" s="3"/>
    </row>
    <row r="1671">
      <c r="G1671" s="3"/>
    </row>
    <row r="1672">
      <c r="G1672" s="3"/>
    </row>
    <row r="1673">
      <c r="G1673" s="3"/>
    </row>
    <row r="1674">
      <c r="G1674" s="3"/>
    </row>
    <row r="1675">
      <c r="G1675" s="3"/>
    </row>
    <row r="1676">
      <c r="G1676" s="3"/>
    </row>
    <row r="1677">
      <c r="G1677" s="3"/>
    </row>
    <row r="1678">
      <c r="G1678" s="3"/>
    </row>
    <row r="1679">
      <c r="G1679" s="3"/>
    </row>
    <row r="1680">
      <c r="G1680" s="3"/>
    </row>
    <row r="1681">
      <c r="G1681" s="3"/>
    </row>
    <row r="1682">
      <c r="G1682" s="3"/>
    </row>
    <row r="1683">
      <c r="G1683" s="3"/>
    </row>
    <row r="1684">
      <c r="G1684" s="3"/>
    </row>
    <row r="1685">
      <c r="G1685" s="3"/>
    </row>
    <row r="1686">
      <c r="G1686" s="3"/>
    </row>
    <row r="1687">
      <c r="G1687" s="3"/>
    </row>
    <row r="1688">
      <c r="G1688" s="3"/>
    </row>
    <row r="1689">
      <c r="G1689" s="3"/>
    </row>
    <row r="1690">
      <c r="G1690" s="3"/>
    </row>
    <row r="1691">
      <c r="G1691" s="3"/>
    </row>
    <row r="1692">
      <c r="G1692" s="3"/>
    </row>
    <row r="1693">
      <c r="G1693" s="3"/>
    </row>
    <row r="1694">
      <c r="G1694" s="3"/>
    </row>
    <row r="1695">
      <c r="G1695" s="3"/>
    </row>
    <row r="1696">
      <c r="G1696" s="3"/>
    </row>
    <row r="1697">
      <c r="G1697" s="3"/>
    </row>
    <row r="1698">
      <c r="G1698" s="3"/>
    </row>
    <row r="1699">
      <c r="G1699" s="3"/>
    </row>
    <row r="1700">
      <c r="G1700" s="3"/>
    </row>
    <row r="1701">
      <c r="G1701" s="3"/>
    </row>
    <row r="1702">
      <c r="G1702" s="3"/>
    </row>
    <row r="1703">
      <c r="G1703" s="3"/>
    </row>
    <row r="1704">
      <c r="G1704" s="3"/>
    </row>
    <row r="1705">
      <c r="G1705" s="3"/>
    </row>
    <row r="1706">
      <c r="G1706" s="3"/>
    </row>
    <row r="1707">
      <c r="G1707" s="3"/>
    </row>
    <row r="1708">
      <c r="G1708" s="3"/>
    </row>
    <row r="1709">
      <c r="G1709" s="3"/>
    </row>
    <row r="1710">
      <c r="G1710" s="3"/>
    </row>
    <row r="1711">
      <c r="G1711" s="3"/>
    </row>
    <row r="1712">
      <c r="G1712" s="3"/>
    </row>
    <row r="1713">
      <c r="G1713" s="3"/>
    </row>
    <row r="1714">
      <c r="G1714" s="3"/>
    </row>
    <row r="1715">
      <c r="G1715" s="3"/>
    </row>
    <row r="1716">
      <c r="G1716" s="3"/>
    </row>
    <row r="1717">
      <c r="G1717" s="3"/>
    </row>
    <row r="1718">
      <c r="G1718" s="3"/>
    </row>
    <row r="1719">
      <c r="G1719" s="3"/>
    </row>
    <row r="1720">
      <c r="G1720" s="3"/>
    </row>
    <row r="1721">
      <c r="G1721" s="3"/>
    </row>
    <row r="1722">
      <c r="G1722" s="3"/>
    </row>
    <row r="1723">
      <c r="G1723" s="3"/>
    </row>
    <row r="1724">
      <c r="G1724" s="3"/>
    </row>
    <row r="1725">
      <c r="G1725" s="3"/>
    </row>
    <row r="1726">
      <c r="G1726" s="3"/>
    </row>
    <row r="1727">
      <c r="G1727" s="3"/>
    </row>
    <row r="1728">
      <c r="G1728" s="3"/>
    </row>
    <row r="1729">
      <c r="G1729" s="3"/>
    </row>
    <row r="1730">
      <c r="G1730" s="3"/>
    </row>
    <row r="1731">
      <c r="G1731" s="3"/>
    </row>
    <row r="1732">
      <c r="G1732" s="3"/>
    </row>
    <row r="1733">
      <c r="G1733" s="3"/>
    </row>
    <row r="1734">
      <c r="G1734" s="3"/>
    </row>
    <row r="1735">
      <c r="G1735" s="3"/>
    </row>
    <row r="1736">
      <c r="G1736" s="3"/>
    </row>
    <row r="1737">
      <c r="G1737" s="3"/>
    </row>
    <row r="1738">
      <c r="G1738" s="3"/>
    </row>
    <row r="1739">
      <c r="G1739" s="3"/>
    </row>
    <row r="1740">
      <c r="G1740" s="3"/>
    </row>
    <row r="1741">
      <c r="G1741" s="3"/>
    </row>
    <row r="1742">
      <c r="G1742" s="3"/>
    </row>
    <row r="1743">
      <c r="G1743" s="3"/>
    </row>
    <row r="1744">
      <c r="G1744" s="3"/>
    </row>
    <row r="1745">
      <c r="G1745" s="3"/>
    </row>
    <row r="1746">
      <c r="G1746" s="3"/>
    </row>
    <row r="1747">
      <c r="G1747" s="3"/>
    </row>
    <row r="1748">
      <c r="G1748" s="3"/>
    </row>
    <row r="1749">
      <c r="G1749" s="3"/>
    </row>
    <row r="1750">
      <c r="G1750" s="3"/>
    </row>
    <row r="1751">
      <c r="G1751" s="3"/>
    </row>
    <row r="1752">
      <c r="G1752" s="3"/>
    </row>
    <row r="1753">
      <c r="G1753" s="3"/>
    </row>
    <row r="1754">
      <c r="G1754" s="3"/>
    </row>
    <row r="1755">
      <c r="G1755" s="3"/>
    </row>
    <row r="1756">
      <c r="G1756" s="3"/>
    </row>
    <row r="1757">
      <c r="G1757" s="3"/>
    </row>
    <row r="1758">
      <c r="G1758" s="3"/>
    </row>
    <row r="1759">
      <c r="G1759" s="3"/>
    </row>
    <row r="1760">
      <c r="G1760" s="3"/>
    </row>
    <row r="1761">
      <c r="G1761" s="3"/>
    </row>
    <row r="1762">
      <c r="G1762" s="3"/>
    </row>
    <row r="1763">
      <c r="G1763" s="3"/>
    </row>
    <row r="1764">
      <c r="G1764" s="3"/>
    </row>
    <row r="1765">
      <c r="G1765" s="3"/>
    </row>
    <row r="1766">
      <c r="G1766" s="3"/>
    </row>
    <row r="1767">
      <c r="G1767" s="3"/>
    </row>
    <row r="1768">
      <c r="G1768" s="3"/>
    </row>
    <row r="1769">
      <c r="G1769" s="3"/>
    </row>
    <row r="1770">
      <c r="G1770" s="3"/>
    </row>
    <row r="1771">
      <c r="G1771" s="3"/>
    </row>
    <row r="1772">
      <c r="G1772" s="3"/>
    </row>
    <row r="1773">
      <c r="G1773" s="3"/>
    </row>
    <row r="1774">
      <c r="G1774" s="3"/>
    </row>
    <row r="1775">
      <c r="G1775" s="3"/>
    </row>
    <row r="1776">
      <c r="G1776" s="3"/>
    </row>
    <row r="1777">
      <c r="G1777" s="3"/>
    </row>
    <row r="1778">
      <c r="G1778" s="3"/>
    </row>
    <row r="1779">
      <c r="G1779" s="3"/>
    </row>
    <row r="1780">
      <c r="G1780" s="3"/>
    </row>
    <row r="1781">
      <c r="G1781" s="3"/>
    </row>
    <row r="1782">
      <c r="G1782" s="3"/>
    </row>
    <row r="1783">
      <c r="G1783" s="3"/>
    </row>
    <row r="1784">
      <c r="G1784" s="3"/>
    </row>
    <row r="1785">
      <c r="G1785" s="3"/>
    </row>
    <row r="1786">
      <c r="G1786" s="3"/>
    </row>
    <row r="1787">
      <c r="G1787" s="3"/>
    </row>
    <row r="1788">
      <c r="G1788" s="3"/>
    </row>
    <row r="1789">
      <c r="G1789" s="3"/>
    </row>
    <row r="1790">
      <c r="G1790" s="3"/>
    </row>
    <row r="1791">
      <c r="G1791" s="3"/>
    </row>
    <row r="1792">
      <c r="G1792" s="3"/>
    </row>
    <row r="1793">
      <c r="G1793" s="3"/>
    </row>
    <row r="1794">
      <c r="G1794" s="3"/>
    </row>
    <row r="1795">
      <c r="G1795" s="3"/>
    </row>
    <row r="1796">
      <c r="G1796" s="3"/>
    </row>
    <row r="1797">
      <c r="G1797" s="3"/>
    </row>
    <row r="1798">
      <c r="G1798" s="3"/>
    </row>
    <row r="1799">
      <c r="G1799" s="3"/>
    </row>
    <row r="1800">
      <c r="G1800" s="3"/>
    </row>
    <row r="1801">
      <c r="G1801" s="3"/>
    </row>
    <row r="1802">
      <c r="G1802" s="3"/>
    </row>
    <row r="1803">
      <c r="G1803" s="3"/>
    </row>
    <row r="1804">
      <c r="G1804" s="3"/>
    </row>
    <row r="1805">
      <c r="G1805" s="3"/>
    </row>
    <row r="1806">
      <c r="G1806" s="3"/>
    </row>
    <row r="1807">
      <c r="G1807" s="3"/>
    </row>
    <row r="1808">
      <c r="G1808" s="3"/>
    </row>
    <row r="1809">
      <c r="G1809" s="3"/>
    </row>
    <row r="1810">
      <c r="G1810" s="3"/>
    </row>
    <row r="1811">
      <c r="G1811" s="3"/>
    </row>
    <row r="1812">
      <c r="G1812" s="3"/>
    </row>
    <row r="1813">
      <c r="G1813" s="3"/>
    </row>
    <row r="1814">
      <c r="G1814" s="3"/>
    </row>
    <row r="1815">
      <c r="G1815" s="3"/>
    </row>
    <row r="1816">
      <c r="G1816" s="3"/>
    </row>
    <row r="1817">
      <c r="G1817" s="3"/>
    </row>
    <row r="1818">
      <c r="G1818" s="3"/>
    </row>
    <row r="1819">
      <c r="G1819" s="3"/>
    </row>
    <row r="1820">
      <c r="G1820" s="3"/>
    </row>
    <row r="1821">
      <c r="G1821" s="3"/>
    </row>
    <row r="1822">
      <c r="G1822" s="3"/>
    </row>
    <row r="1823">
      <c r="G1823" s="3"/>
    </row>
    <row r="1824">
      <c r="G1824" s="3"/>
    </row>
    <row r="1825">
      <c r="G1825" s="3"/>
    </row>
    <row r="1826">
      <c r="G1826" s="3"/>
    </row>
    <row r="1827">
      <c r="G1827" s="3"/>
    </row>
    <row r="1828">
      <c r="G1828" s="3"/>
    </row>
    <row r="1829">
      <c r="G1829" s="3"/>
    </row>
    <row r="1830">
      <c r="G1830" s="3"/>
    </row>
    <row r="1831">
      <c r="G1831" s="3"/>
    </row>
    <row r="1832">
      <c r="G1832" s="3"/>
    </row>
    <row r="1833">
      <c r="G1833" s="3"/>
    </row>
    <row r="1834">
      <c r="G1834" s="3"/>
    </row>
    <row r="1835">
      <c r="G1835" s="3"/>
    </row>
    <row r="1836">
      <c r="G1836" s="3"/>
    </row>
    <row r="1837">
      <c r="G1837" s="3"/>
    </row>
    <row r="1838">
      <c r="G1838" s="3"/>
    </row>
    <row r="1839">
      <c r="G1839" s="3"/>
    </row>
    <row r="1840">
      <c r="G1840" s="3"/>
    </row>
    <row r="1841">
      <c r="G1841" s="3"/>
    </row>
    <row r="1842">
      <c r="G1842" s="3"/>
    </row>
    <row r="1843">
      <c r="G1843" s="3"/>
    </row>
    <row r="1844">
      <c r="G1844" s="3"/>
    </row>
    <row r="1845">
      <c r="G1845" s="3"/>
    </row>
    <row r="1846">
      <c r="G1846" s="3"/>
    </row>
    <row r="1847">
      <c r="G1847" s="3"/>
    </row>
    <row r="1848">
      <c r="G1848" s="3"/>
    </row>
    <row r="1849">
      <c r="G1849" s="3"/>
    </row>
    <row r="1850">
      <c r="G1850" s="3"/>
    </row>
    <row r="1851">
      <c r="G1851" s="3"/>
    </row>
    <row r="1852">
      <c r="G1852" s="3"/>
    </row>
    <row r="1853">
      <c r="G1853" s="3"/>
    </row>
    <row r="1854">
      <c r="G1854" s="3"/>
    </row>
    <row r="1855">
      <c r="G1855" s="3"/>
    </row>
    <row r="1856">
      <c r="G1856" s="3"/>
    </row>
    <row r="1857">
      <c r="G1857" s="3"/>
    </row>
    <row r="1858">
      <c r="G1858" s="3"/>
    </row>
    <row r="1859">
      <c r="G1859" s="3"/>
    </row>
    <row r="1860">
      <c r="G1860" s="3"/>
    </row>
    <row r="1861">
      <c r="G1861" s="3"/>
    </row>
    <row r="1862">
      <c r="G1862" s="3"/>
    </row>
    <row r="1863">
      <c r="G1863" s="3"/>
    </row>
    <row r="1864">
      <c r="G1864" s="3"/>
    </row>
    <row r="1865">
      <c r="G1865" s="3"/>
    </row>
    <row r="1866">
      <c r="G1866" s="3"/>
    </row>
    <row r="1867">
      <c r="G1867" s="3"/>
    </row>
    <row r="1868">
      <c r="G1868" s="3"/>
    </row>
    <row r="1869">
      <c r="G1869" s="3"/>
    </row>
    <row r="1870">
      <c r="G1870" s="3"/>
    </row>
    <row r="1871">
      <c r="G1871" s="3"/>
    </row>
    <row r="1872">
      <c r="G1872" s="3"/>
    </row>
    <row r="1873">
      <c r="G1873" s="3"/>
    </row>
    <row r="1874">
      <c r="G1874" s="3"/>
    </row>
    <row r="1875">
      <c r="G1875" s="3"/>
    </row>
    <row r="1876">
      <c r="G1876" s="3"/>
    </row>
    <row r="1877">
      <c r="G1877" s="3"/>
    </row>
    <row r="1878">
      <c r="G1878" s="3"/>
    </row>
    <row r="1879">
      <c r="G1879" s="3"/>
    </row>
    <row r="1880">
      <c r="G1880" s="3"/>
    </row>
    <row r="1881">
      <c r="G1881" s="3"/>
    </row>
    <row r="1882">
      <c r="G1882" s="3"/>
    </row>
    <row r="1883">
      <c r="G1883" s="3"/>
    </row>
    <row r="1884">
      <c r="G1884" s="3"/>
    </row>
    <row r="1885">
      <c r="G1885" s="3"/>
    </row>
    <row r="1886">
      <c r="G1886" s="3"/>
    </row>
    <row r="1887">
      <c r="G1887" s="3"/>
    </row>
    <row r="1888">
      <c r="G1888" s="3"/>
    </row>
    <row r="1889">
      <c r="G1889" s="3"/>
    </row>
    <row r="1890">
      <c r="G1890" s="3"/>
    </row>
    <row r="1891">
      <c r="G1891" s="3"/>
    </row>
    <row r="1892">
      <c r="G1892" s="3"/>
    </row>
    <row r="1893">
      <c r="G1893" s="3"/>
    </row>
    <row r="1894">
      <c r="G1894" s="3"/>
    </row>
    <row r="1895">
      <c r="G1895" s="3"/>
    </row>
    <row r="1896">
      <c r="G1896" s="3"/>
    </row>
    <row r="1897">
      <c r="G1897" s="3"/>
    </row>
    <row r="1898">
      <c r="G1898" s="3"/>
    </row>
    <row r="1899">
      <c r="G1899" s="3"/>
    </row>
    <row r="1900">
      <c r="G1900" s="3"/>
    </row>
    <row r="1901">
      <c r="G1901" s="3"/>
    </row>
    <row r="1902">
      <c r="G1902" s="3"/>
    </row>
    <row r="1903">
      <c r="G1903" s="3"/>
    </row>
    <row r="1904">
      <c r="G1904" s="3"/>
    </row>
    <row r="1905">
      <c r="G1905" s="3"/>
    </row>
    <row r="1906">
      <c r="G1906" s="3"/>
    </row>
    <row r="1907">
      <c r="G1907" s="3"/>
    </row>
    <row r="1908">
      <c r="G1908" s="3"/>
    </row>
    <row r="1909">
      <c r="G1909" s="3"/>
    </row>
    <row r="1910">
      <c r="G1910" s="3"/>
    </row>
    <row r="1911">
      <c r="G1911" s="3"/>
    </row>
    <row r="1912">
      <c r="G1912" s="3"/>
    </row>
    <row r="1913">
      <c r="G1913" s="3"/>
    </row>
    <row r="1914">
      <c r="G1914" s="3"/>
    </row>
    <row r="1915">
      <c r="G1915" s="3"/>
    </row>
    <row r="1916">
      <c r="G1916" s="3"/>
    </row>
    <row r="1917">
      <c r="G1917" s="3"/>
    </row>
    <row r="1918">
      <c r="G1918" s="3"/>
    </row>
    <row r="1919">
      <c r="G1919" s="3"/>
    </row>
    <row r="1920">
      <c r="G1920" s="3"/>
    </row>
    <row r="1921">
      <c r="G1921" s="3"/>
    </row>
    <row r="1922">
      <c r="G1922" s="3"/>
    </row>
    <row r="1923">
      <c r="G1923" s="3"/>
    </row>
    <row r="1924">
      <c r="G1924" s="3"/>
    </row>
    <row r="1925">
      <c r="G1925" s="3"/>
    </row>
    <row r="1926">
      <c r="G1926" s="3"/>
    </row>
    <row r="1927">
      <c r="G1927" s="3"/>
    </row>
    <row r="1928">
      <c r="G1928" s="3"/>
    </row>
    <row r="1929">
      <c r="G1929" s="3"/>
    </row>
    <row r="1930">
      <c r="G1930" s="3"/>
    </row>
    <row r="1931">
      <c r="G1931" s="3"/>
    </row>
    <row r="1932">
      <c r="G1932" s="3"/>
    </row>
    <row r="1933">
      <c r="G1933" s="3"/>
    </row>
    <row r="1934">
      <c r="G1934" s="3"/>
    </row>
    <row r="1935">
      <c r="G1935" s="3"/>
    </row>
    <row r="1936">
      <c r="G1936" s="3"/>
    </row>
    <row r="1937">
      <c r="G1937" s="3"/>
    </row>
    <row r="1938">
      <c r="G1938" s="3"/>
    </row>
    <row r="1939">
      <c r="G1939" s="3"/>
    </row>
    <row r="1940">
      <c r="G1940" s="3"/>
    </row>
    <row r="1941">
      <c r="G1941" s="3"/>
    </row>
    <row r="1942">
      <c r="G1942" s="3"/>
    </row>
    <row r="1943">
      <c r="G1943" s="3"/>
    </row>
    <row r="1944">
      <c r="G1944" s="3"/>
    </row>
    <row r="1945">
      <c r="G1945" s="3"/>
    </row>
    <row r="1946">
      <c r="G1946" s="3"/>
    </row>
    <row r="1947">
      <c r="G1947" s="3"/>
    </row>
    <row r="1948">
      <c r="G1948" s="3"/>
    </row>
    <row r="1949">
      <c r="G1949" s="3"/>
    </row>
    <row r="1950">
      <c r="G1950" s="3"/>
    </row>
    <row r="1951">
      <c r="G1951" s="3"/>
    </row>
    <row r="1952">
      <c r="G1952" s="3"/>
    </row>
    <row r="1953">
      <c r="G1953" s="3"/>
    </row>
    <row r="1954">
      <c r="G1954" s="3"/>
    </row>
    <row r="1955">
      <c r="G1955" s="3"/>
    </row>
    <row r="1956">
      <c r="G1956" s="3"/>
    </row>
    <row r="1957">
      <c r="G1957" s="3"/>
    </row>
    <row r="1958">
      <c r="G1958" s="3"/>
    </row>
    <row r="1959">
      <c r="G1959" s="3"/>
    </row>
    <row r="1960">
      <c r="G1960" s="3"/>
    </row>
    <row r="1961">
      <c r="G1961" s="3"/>
    </row>
    <row r="1962">
      <c r="G1962" s="3"/>
    </row>
    <row r="1963">
      <c r="G1963" s="3"/>
    </row>
    <row r="1964">
      <c r="G1964" s="3"/>
    </row>
    <row r="1965">
      <c r="G1965" s="3"/>
    </row>
    <row r="1966">
      <c r="G1966" s="3"/>
    </row>
    <row r="1967">
      <c r="G1967" s="3"/>
    </row>
    <row r="1968">
      <c r="G1968" s="3"/>
    </row>
    <row r="1969">
      <c r="G1969" s="3"/>
    </row>
    <row r="1970">
      <c r="G1970" s="3"/>
    </row>
    <row r="1971">
      <c r="G1971" s="3"/>
    </row>
    <row r="1972">
      <c r="G1972" s="3"/>
    </row>
    <row r="1973">
      <c r="G1973" s="3"/>
    </row>
    <row r="1974">
      <c r="G1974" s="3"/>
    </row>
    <row r="1975">
      <c r="G1975" s="3"/>
    </row>
    <row r="1976">
      <c r="G1976" s="3"/>
    </row>
    <row r="1977">
      <c r="G1977" s="3"/>
    </row>
    <row r="1978">
      <c r="G1978" s="3"/>
    </row>
    <row r="1979">
      <c r="G1979" s="3"/>
    </row>
    <row r="1980">
      <c r="G1980" s="3"/>
    </row>
    <row r="1981">
      <c r="G1981" s="3"/>
    </row>
    <row r="1982">
      <c r="G1982" s="3"/>
    </row>
    <row r="1983">
      <c r="G1983" s="3"/>
    </row>
    <row r="1984">
      <c r="G1984" s="3"/>
    </row>
    <row r="1985">
      <c r="G1985" s="3"/>
    </row>
    <row r="1986">
      <c r="G1986" s="3"/>
    </row>
    <row r="1987">
      <c r="G1987" s="3"/>
    </row>
    <row r="1988">
      <c r="G1988" s="3"/>
    </row>
    <row r="1989">
      <c r="G1989" s="3"/>
    </row>
    <row r="1990">
      <c r="G1990" s="3"/>
    </row>
    <row r="1991">
      <c r="G1991" s="3"/>
    </row>
    <row r="1992">
      <c r="G1992" s="3"/>
    </row>
    <row r="1993">
      <c r="G1993" s="3"/>
    </row>
    <row r="1994">
      <c r="G1994" s="3"/>
    </row>
    <row r="1995">
      <c r="G1995" s="3"/>
    </row>
    <row r="1996">
      <c r="G1996" s="3"/>
    </row>
    <row r="1997">
      <c r="G1997" s="3"/>
    </row>
    <row r="1998">
      <c r="G1998" s="3"/>
    </row>
    <row r="1999">
      <c r="G1999" s="3"/>
    </row>
    <row r="2000">
      <c r="G2000" s="3"/>
    </row>
    <row r="2001">
      <c r="G2001" s="3"/>
    </row>
    <row r="2002">
      <c r="G2002" s="3"/>
    </row>
    <row r="2003">
      <c r="G2003" s="3"/>
    </row>
    <row r="2004">
      <c r="G2004" s="3"/>
    </row>
    <row r="2005">
      <c r="G2005" s="3"/>
    </row>
    <row r="2006">
      <c r="G2006" s="3"/>
    </row>
    <row r="2007">
      <c r="G2007" s="3"/>
    </row>
    <row r="2008">
      <c r="G2008" s="3"/>
    </row>
    <row r="2009">
      <c r="G2009" s="3"/>
    </row>
    <row r="2010">
      <c r="G2010" s="3"/>
    </row>
    <row r="2011">
      <c r="G2011" s="3"/>
    </row>
    <row r="2012">
      <c r="G2012" s="3"/>
    </row>
    <row r="2013">
      <c r="G2013" s="3"/>
    </row>
    <row r="2014">
      <c r="G2014" s="3"/>
    </row>
    <row r="2015">
      <c r="G2015" s="3"/>
    </row>
    <row r="2016">
      <c r="G2016" s="3"/>
    </row>
    <row r="2017">
      <c r="G2017" s="3"/>
    </row>
    <row r="2018">
      <c r="G2018" s="3"/>
    </row>
    <row r="2019">
      <c r="G2019" s="3"/>
    </row>
    <row r="2020">
      <c r="G2020" s="3"/>
    </row>
    <row r="2021">
      <c r="G2021" s="3"/>
    </row>
    <row r="2022">
      <c r="G2022" s="3"/>
    </row>
    <row r="2023">
      <c r="G2023" s="3"/>
    </row>
    <row r="2024">
      <c r="G2024" s="3"/>
    </row>
    <row r="2025">
      <c r="G2025" s="3"/>
    </row>
    <row r="2026">
      <c r="G2026" s="3"/>
    </row>
    <row r="2027">
      <c r="G2027" s="3"/>
    </row>
    <row r="2028">
      <c r="G2028" s="3"/>
    </row>
    <row r="2029">
      <c r="G2029" s="3"/>
    </row>
    <row r="2030">
      <c r="G2030" s="3"/>
    </row>
    <row r="2031">
      <c r="G2031" s="3"/>
    </row>
    <row r="2032">
      <c r="G2032" s="3"/>
    </row>
    <row r="2033">
      <c r="G2033" s="3"/>
    </row>
    <row r="2034">
      <c r="G2034" s="3"/>
    </row>
    <row r="2035">
      <c r="G2035" s="3"/>
    </row>
    <row r="2036">
      <c r="G2036" s="3"/>
    </row>
    <row r="2037">
      <c r="G2037" s="3"/>
    </row>
    <row r="2038">
      <c r="G2038" s="3"/>
    </row>
    <row r="2039">
      <c r="G2039" s="3"/>
    </row>
    <row r="2040">
      <c r="G2040" s="3"/>
    </row>
    <row r="2041">
      <c r="G2041" s="3"/>
    </row>
    <row r="2042">
      <c r="G2042" s="3"/>
    </row>
    <row r="2043">
      <c r="G2043" s="3"/>
    </row>
    <row r="2044">
      <c r="G2044" s="3"/>
    </row>
    <row r="2045">
      <c r="G2045" s="3"/>
    </row>
    <row r="2046">
      <c r="G2046" s="3"/>
    </row>
    <row r="2047">
      <c r="G2047" s="3"/>
    </row>
    <row r="2048">
      <c r="G2048" s="3"/>
    </row>
    <row r="2049">
      <c r="G2049" s="3"/>
    </row>
    <row r="2050">
      <c r="G2050" s="3"/>
    </row>
    <row r="2051">
      <c r="G2051" s="3"/>
    </row>
    <row r="2052">
      <c r="G2052" s="3"/>
    </row>
    <row r="2053">
      <c r="G2053" s="3"/>
    </row>
    <row r="2054">
      <c r="G2054" s="3"/>
    </row>
    <row r="2055">
      <c r="G2055" s="3"/>
    </row>
    <row r="2056">
      <c r="G2056" s="3"/>
    </row>
    <row r="2057">
      <c r="G2057" s="3"/>
    </row>
    <row r="2058">
      <c r="G2058" s="3"/>
    </row>
    <row r="2059">
      <c r="G2059" s="3"/>
    </row>
    <row r="2060">
      <c r="G2060" s="3"/>
    </row>
    <row r="2061">
      <c r="G2061" s="3"/>
    </row>
    <row r="2062">
      <c r="G2062" s="3"/>
    </row>
    <row r="2063">
      <c r="G2063" s="3"/>
    </row>
    <row r="2064">
      <c r="G2064" s="3"/>
    </row>
    <row r="2065">
      <c r="G2065" s="3"/>
    </row>
    <row r="2066">
      <c r="G2066" s="3"/>
    </row>
    <row r="2067">
      <c r="G2067" s="3"/>
    </row>
    <row r="2068">
      <c r="G2068" s="3"/>
    </row>
    <row r="2069">
      <c r="G2069" s="3"/>
    </row>
    <row r="2070">
      <c r="G2070" s="3"/>
    </row>
    <row r="2071">
      <c r="G2071" s="3"/>
    </row>
    <row r="2072">
      <c r="G2072" s="3"/>
    </row>
    <row r="2073">
      <c r="G2073" s="3"/>
    </row>
    <row r="2074">
      <c r="G2074" s="3"/>
    </row>
    <row r="2075">
      <c r="G2075" s="3"/>
    </row>
    <row r="2076">
      <c r="G2076" s="3"/>
    </row>
    <row r="2077">
      <c r="G2077" s="3"/>
    </row>
    <row r="2078">
      <c r="G2078" s="3"/>
    </row>
    <row r="2079">
      <c r="G2079" s="3"/>
    </row>
    <row r="2080">
      <c r="G2080" s="3"/>
    </row>
    <row r="2081">
      <c r="G2081" s="3"/>
    </row>
    <row r="2082">
      <c r="G2082" s="3"/>
    </row>
    <row r="2083">
      <c r="G2083" s="3"/>
    </row>
    <row r="2084">
      <c r="G2084" s="3"/>
    </row>
    <row r="2085">
      <c r="G2085" s="3"/>
    </row>
    <row r="2086">
      <c r="G2086" s="3"/>
    </row>
    <row r="2087">
      <c r="G2087" s="3"/>
    </row>
    <row r="2088">
      <c r="G2088" s="3"/>
    </row>
    <row r="2089">
      <c r="G2089" s="3"/>
    </row>
    <row r="2090">
      <c r="G2090" s="3"/>
    </row>
    <row r="2091">
      <c r="G2091" s="3"/>
    </row>
    <row r="2092">
      <c r="G2092" s="3"/>
    </row>
    <row r="2093">
      <c r="G2093" s="3"/>
    </row>
    <row r="2094">
      <c r="G2094" s="3"/>
    </row>
    <row r="2095">
      <c r="G2095" s="3"/>
    </row>
    <row r="2096">
      <c r="G2096" s="3"/>
    </row>
    <row r="2097">
      <c r="G2097" s="3"/>
    </row>
    <row r="2098">
      <c r="G2098" s="3"/>
    </row>
    <row r="2099">
      <c r="G2099" s="3"/>
    </row>
    <row r="2100">
      <c r="G2100" s="3"/>
    </row>
    <row r="2101">
      <c r="G2101" s="3"/>
    </row>
    <row r="2102">
      <c r="G2102" s="3"/>
    </row>
    <row r="2103">
      <c r="G2103" s="3"/>
    </row>
    <row r="2104">
      <c r="G2104" s="3"/>
    </row>
    <row r="2105">
      <c r="G2105" s="3"/>
    </row>
    <row r="2106">
      <c r="G2106" s="3"/>
    </row>
    <row r="2107">
      <c r="G2107" s="3"/>
    </row>
    <row r="2108">
      <c r="G2108" s="3"/>
    </row>
    <row r="2109">
      <c r="G2109" s="3"/>
    </row>
    <row r="2110">
      <c r="G2110" s="3"/>
    </row>
    <row r="2111">
      <c r="G2111" s="3"/>
    </row>
    <row r="2112">
      <c r="G2112" s="3"/>
    </row>
    <row r="2113">
      <c r="G2113" s="3"/>
    </row>
    <row r="2114">
      <c r="G2114" s="3"/>
    </row>
    <row r="2115">
      <c r="G2115" s="3"/>
    </row>
    <row r="2116">
      <c r="G2116" s="3"/>
    </row>
    <row r="2117">
      <c r="G2117" s="3"/>
    </row>
    <row r="2118">
      <c r="G2118" s="3"/>
    </row>
    <row r="2119">
      <c r="G2119" s="3"/>
    </row>
    <row r="2120">
      <c r="G2120" s="3"/>
    </row>
    <row r="2121">
      <c r="G2121" s="3"/>
    </row>
    <row r="2122">
      <c r="G2122" s="3"/>
    </row>
    <row r="2123">
      <c r="G2123" s="3"/>
    </row>
    <row r="2124">
      <c r="G2124" s="3"/>
    </row>
    <row r="2125">
      <c r="G2125" s="3"/>
    </row>
    <row r="2126">
      <c r="G2126" s="3"/>
    </row>
    <row r="2127">
      <c r="G2127" s="3"/>
    </row>
    <row r="2128">
      <c r="G2128" s="3"/>
    </row>
    <row r="2129">
      <c r="G2129" s="3"/>
    </row>
    <row r="2130">
      <c r="G2130" s="3"/>
    </row>
    <row r="2131">
      <c r="G2131" s="3"/>
    </row>
    <row r="2132">
      <c r="G2132" s="3"/>
    </row>
    <row r="2133">
      <c r="G2133" s="3"/>
    </row>
    <row r="2134">
      <c r="G2134" s="3"/>
    </row>
    <row r="2135">
      <c r="G2135" s="3"/>
    </row>
    <row r="2136">
      <c r="G2136" s="3"/>
    </row>
    <row r="2137">
      <c r="G2137" s="3"/>
    </row>
    <row r="2138">
      <c r="G2138" s="3"/>
    </row>
    <row r="2139">
      <c r="G2139" s="3"/>
    </row>
    <row r="2140">
      <c r="G2140" s="3"/>
    </row>
    <row r="2141">
      <c r="G2141" s="3"/>
    </row>
    <row r="2142">
      <c r="G2142" s="3"/>
    </row>
    <row r="2143">
      <c r="G2143" s="3"/>
    </row>
    <row r="2144">
      <c r="G2144" s="3"/>
    </row>
    <row r="2145">
      <c r="G2145" s="3"/>
    </row>
    <row r="2146">
      <c r="G2146" s="3"/>
    </row>
    <row r="2147">
      <c r="G2147" s="3"/>
    </row>
    <row r="2148">
      <c r="G2148" s="3"/>
    </row>
    <row r="2149">
      <c r="G2149" s="3"/>
    </row>
    <row r="2150">
      <c r="G2150" s="3"/>
    </row>
    <row r="2151">
      <c r="G2151" s="3"/>
    </row>
    <row r="2152">
      <c r="G2152" s="3"/>
    </row>
    <row r="2153">
      <c r="G2153" s="3"/>
    </row>
    <row r="2154">
      <c r="G2154" s="3"/>
    </row>
    <row r="2155">
      <c r="G2155" s="3"/>
    </row>
    <row r="2156">
      <c r="G2156" s="3"/>
    </row>
    <row r="2157">
      <c r="G2157" s="3"/>
    </row>
    <row r="2158">
      <c r="G2158" s="3"/>
    </row>
    <row r="2159">
      <c r="G2159" s="3"/>
    </row>
    <row r="2160">
      <c r="G2160" s="3"/>
    </row>
    <row r="2161">
      <c r="G2161" s="3"/>
    </row>
    <row r="2162">
      <c r="G2162" s="3"/>
    </row>
    <row r="2163">
      <c r="G2163" s="3"/>
    </row>
    <row r="2164">
      <c r="G2164" s="3"/>
    </row>
    <row r="2165">
      <c r="G2165" s="3"/>
    </row>
    <row r="2166">
      <c r="G2166" s="3"/>
    </row>
    <row r="2167">
      <c r="G2167" s="3"/>
    </row>
    <row r="2168">
      <c r="G2168" s="3"/>
    </row>
    <row r="2169">
      <c r="G2169" s="3"/>
    </row>
    <row r="2170">
      <c r="G2170" s="3"/>
    </row>
    <row r="2171">
      <c r="G2171" s="3"/>
    </row>
    <row r="2172">
      <c r="G2172" s="3"/>
    </row>
    <row r="2173">
      <c r="G2173" s="3"/>
    </row>
    <row r="2174">
      <c r="G2174" s="3"/>
    </row>
    <row r="2175">
      <c r="G2175" s="3"/>
    </row>
    <row r="2176">
      <c r="G2176" s="3"/>
    </row>
    <row r="2177">
      <c r="G2177" s="3"/>
    </row>
    <row r="2178">
      <c r="G2178" s="3"/>
    </row>
    <row r="2179">
      <c r="G2179" s="3"/>
    </row>
    <row r="2180">
      <c r="G2180" s="3"/>
    </row>
    <row r="2181">
      <c r="G2181" s="3"/>
    </row>
    <row r="2182">
      <c r="G2182" s="3"/>
    </row>
    <row r="2183">
      <c r="G2183" s="3"/>
    </row>
    <row r="2184">
      <c r="G2184" s="3"/>
    </row>
    <row r="2185">
      <c r="G2185" s="3"/>
    </row>
    <row r="2186">
      <c r="G2186" s="3"/>
    </row>
    <row r="2187">
      <c r="G2187" s="3"/>
    </row>
    <row r="2188">
      <c r="G2188" s="3"/>
    </row>
    <row r="2189">
      <c r="G2189" s="3"/>
    </row>
    <row r="2190">
      <c r="G2190" s="3"/>
    </row>
    <row r="2191">
      <c r="G2191" s="3"/>
    </row>
    <row r="2192">
      <c r="G2192" s="3"/>
    </row>
    <row r="2193">
      <c r="G2193" s="3"/>
    </row>
    <row r="2194">
      <c r="G2194" s="3"/>
    </row>
    <row r="2195">
      <c r="G2195" s="3"/>
    </row>
    <row r="2196">
      <c r="G2196" s="3"/>
    </row>
    <row r="2197">
      <c r="G2197" s="3"/>
    </row>
    <row r="2198">
      <c r="G2198" s="3"/>
    </row>
    <row r="2199">
      <c r="G2199" s="3"/>
    </row>
    <row r="2200">
      <c r="G2200" s="3"/>
    </row>
    <row r="2201">
      <c r="G2201" s="3"/>
    </row>
    <row r="2202">
      <c r="G2202" s="3"/>
    </row>
    <row r="2203">
      <c r="G2203" s="3"/>
    </row>
    <row r="2204">
      <c r="G2204" s="3"/>
    </row>
    <row r="2205">
      <c r="G2205" s="3"/>
    </row>
    <row r="2206">
      <c r="G2206" s="3"/>
    </row>
    <row r="2207">
      <c r="G2207" s="3"/>
    </row>
    <row r="2208">
      <c r="G2208" s="3"/>
    </row>
    <row r="2209">
      <c r="G2209" s="3"/>
    </row>
    <row r="2210">
      <c r="G2210" s="3"/>
    </row>
    <row r="2211">
      <c r="G2211" s="3"/>
    </row>
    <row r="2212">
      <c r="G2212" s="3"/>
    </row>
    <row r="2213">
      <c r="G2213" s="3"/>
    </row>
    <row r="2214">
      <c r="G2214" s="3"/>
    </row>
    <row r="2215">
      <c r="G2215" s="3"/>
    </row>
    <row r="2216">
      <c r="G2216" s="3"/>
    </row>
    <row r="2217">
      <c r="G2217" s="3"/>
    </row>
    <row r="2218">
      <c r="G2218" s="3"/>
    </row>
    <row r="2219">
      <c r="G2219" s="3"/>
    </row>
    <row r="2220">
      <c r="G2220" s="3"/>
    </row>
    <row r="2221">
      <c r="G2221" s="3"/>
    </row>
    <row r="2222">
      <c r="G2222" s="3"/>
    </row>
    <row r="2223">
      <c r="G2223" s="3"/>
    </row>
    <row r="2224">
      <c r="G2224" s="3"/>
    </row>
    <row r="2225">
      <c r="G2225" s="3"/>
    </row>
    <row r="2226">
      <c r="G2226" s="3"/>
    </row>
    <row r="2227">
      <c r="G2227" s="3"/>
    </row>
    <row r="2228">
      <c r="G2228" s="3"/>
    </row>
    <row r="2229">
      <c r="G2229" s="3"/>
    </row>
    <row r="2230">
      <c r="G2230" s="3"/>
    </row>
    <row r="2231">
      <c r="G2231" s="3"/>
    </row>
    <row r="2232">
      <c r="G2232" s="3"/>
    </row>
    <row r="2233">
      <c r="G2233" s="3"/>
    </row>
    <row r="2234">
      <c r="G2234" s="3"/>
    </row>
    <row r="2235">
      <c r="G2235" s="3"/>
    </row>
    <row r="2236">
      <c r="G2236" s="3"/>
    </row>
    <row r="2237">
      <c r="G2237" s="3"/>
    </row>
    <row r="2238">
      <c r="G2238" s="3"/>
    </row>
    <row r="2239">
      <c r="G2239" s="3"/>
    </row>
    <row r="2240">
      <c r="G2240" s="3"/>
    </row>
    <row r="2241">
      <c r="G2241" s="3"/>
    </row>
    <row r="2242">
      <c r="G2242" s="3"/>
    </row>
    <row r="2243">
      <c r="G2243" s="3"/>
    </row>
    <row r="2244">
      <c r="G2244" s="3"/>
    </row>
    <row r="2245">
      <c r="G2245" s="3"/>
    </row>
    <row r="2246">
      <c r="G2246" s="3"/>
    </row>
    <row r="2247">
      <c r="G2247" s="3"/>
    </row>
    <row r="2248">
      <c r="G2248" s="3"/>
    </row>
    <row r="2249">
      <c r="G2249" s="3"/>
    </row>
    <row r="2250">
      <c r="G2250" s="3"/>
    </row>
    <row r="2251">
      <c r="G2251" s="3"/>
    </row>
    <row r="2252">
      <c r="G2252" s="3"/>
    </row>
    <row r="2253">
      <c r="G2253" s="3"/>
    </row>
    <row r="2254">
      <c r="G2254" s="3"/>
    </row>
    <row r="2255">
      <c r="G2255" s="3"/>
    </row>
    <row r="2256">
      <c r="G2256" s="3"/>
    </row>
    <row r="2257">
      <c r="G2257" s="3"/>
    </row>
    <row r="2258">
      <c r="G2258" s="3"/>
    </row>
    <row r="2259">
      <c r="G2259" s="3"/>
    </row>
    <row r="2260">
      <c r="G2260" s="3"/>
    </row>
    <row r="2261">
      <c r="G2261" s="3"/>
    </row>
    <row r="2262">
      <c r="G2262" s="3"/>
    </row>
    <row r="2263">
      <c r="G2263" s="3"/>
    </row>
    <row r="2264">
      <c r="G2264" s="3"/>
    </row>
    <row r="2265">
      <c r="G2265" s="3"/>
    </row>
    <row r="2266">
      <c r="G2266" s="3"/>
    </row>
    <row r="2267">
      <c r="G2267" s="3"/>
    </row>
    <row r="2268">
      <c r="G2268" s="3"/>
    </row>
    <row r="2269">
      <c r="G2269" s="3"/>
    </row>
    <row r="2270">
      <c r="G2270" s="3"/>
    </row>
    <row r="2271">
      <c r="G2271" s="3"/>
    </row>
    <row r="2272">
      <c r="G2272" s="3"/>
    </row>
    <row r="2273">
      <c r="G2273" s="3"/>
    </row>
    <row r="2274">
      <c r="G2274" s="3"/>
    </row>
    <row r="2275">
      <c r="G2275" s="3"/>
    </row>
    <row r="2276">
      <c r="G2276" s="3"/>
    </row>
    <row r="2277">
      <c r="G2277" s="3"/>
    </row>
    <row r="2278">
      <c r="G2278" s="3"/>
    </row>
    <row r="2279">
      <c r="G2279" s="3"/>
    </row>
    <row r="2280">
      <c r="G2280" s="3"/>
    </row>
    <row r="2281">
      <c r="G2281" s="3"/>
    </row>
    <row r="2282">
      <c r="G2282" s="3"/>
    </row>
    <row r="2283">
      <c r="G2283" s="3"/>
    </row>
    <row r="2284">
      <c r="G2284" s="3"/>
    </row>
    <row r="2285">
      <c r="G2285" s="3"/>
    </row>
    <row r="2286">
      <c r="G2286" s="3"/>
    </row>
    <row r="2287">
      <c r="G2287" s="3"/>
    </row>
    <row r="2288">
      <c r="G2288" s="3"/>
    </row>
    <row r="2289">
      <c r="G2289" s="3"/>
    </row>
    <row r="2290">
      <c r="G2290" s="3"/>
    </row>
    <row r="2291">
      <c r="G2291" s="3"/>
    </row>
    <row r="2292">
      <c r="G2292" s="3"/>
    </row>
    <row r="2293">
      <c r="G2293" s="3"/>
    </row>
    <row r="2294">
      <c r="G2294" s="3"/>
    </row>
    <row r="2295">
      <c r="G2295" s="3"/>
    </row>
    <row r="2296">
      <c r="G2296" s="3"/>
    </row>
    <row r="2297">
      <c r="G2297" s="3"/>
    </row>
    <row r="2298">
      <c r="G2298" s="3"/>
    </row>
    <row r="2299">
      <c r="G2299" s="3"/>
    </row>
    <row r="2300">
      <c r="G2300" s="3"/>
    </row>
    <row r="2301">
      <c r="G2301" s="3"/>
    </row>
    <row r="2302">
      <c r="G2302" s="3"/>
    </row>
    <row r="2303">
      <c r="G2303" s="3"/>
    </row>
    <row r="2304">
      <c r="G2304" s="3"/>
    </row>
    <row r="2305">
      <c r="G2305" s="3"/>
    </row>
    <row r="2306">
      <c r="G2306" s="3"/>
    </row>
    <row r="2307">
      <c r="G2307" s="3"/>
    </row>
    <row r="2308">
      <c r="G2308" s="3"/>
    </row>
    <row r="2309">
      <c r="G2309" s="3"/>
    </row>
    <row r="2310">
      <c r="G2310" s="3"/>
    </row>
    <row r="2311">
      <c r="G2311" s="3"/>
    </row>
    <row r="2312">
      <c r="G2312" s="3"/>
    </row>
    <row r="2313">
      <c r="G2313" s="3"/>
    </row>
    <row r="2314">
      <c r="G2314" s="3"/>
    </row>
    <row r="2315">
      <c r="G2315" s="3"/>
    </row>
    <row r="2316">
      <c r="G2316" s="3"/>
    </row>
    <row r="2317">
      <c r="G2317" s="3"/>
    </row>
    <row r="2318">
      <c r="G2318" s="3"/>
    </row>
    <row r="2319">
      <c r="G2319" s="3"/>
    </row>
    <row r="2320">
      <c r="G2320" s="3"/>
    </row>
    <row r="2321">
      <c r="G2321" s="3"/>
    </row>
    <row r="2322">
      <c r="G2322" s="3"/>
    </row>
    <row r="2323">
      <c r="G2323" s="3"/>
    </row>
    <row r="2324">
      <c r="G2324" s="3"/>
    </row>
    <row r="2325">
      <c r="G2325" s="3"/>
    </row>
    <row r="2326">
      <c r="G2326" s="3"/>
    </row>
    <row r="2327">
      <c r="G2327" s="3"/>
    </row>
    <row r="2328">
      <c r="G2328" s="3"/>
    </row>
    <row r="2329">
      <c r="G2329" s="3"/>
    </row>
    <row r="2330">
      <c r="G2330" s="3"/>
    </row>
    <row r="2331">
      <c r="G2331" s="3"/>
    </row>
    <row r="2332">
      <c r="G2332" s="3"/>
    </row>
    <row r="2333">
      <c r="G2333" s="3"/>
    </row>
    <row r="2334">
      <c r="G2334" s="3"/>
    </row>
    <row r="2335">
      <c r="G2335" s="3"/>
    </row>
    <row r="2336">
      <c r="G2336" s="3"/>
    </row>
    <row r="2337">
      <c r="G2337" s="3"/>
    </row>
    <row r="2338">
      <c r="G2338" s="3"/>
    </row>
    <row r="2339">
      <c r="G2339" s="3"/>
    </row>
    <row r="2340">
      <c r="G2340" s="3"/>
    </row>
    <row r="2341">
      <c r="G2341" s="3"/>
    </row>
    <row r="2342">
      <c r="G2342" s="3"/>
    </row>
    <row r="2343">
      <c r="G2343" s="3"/>
    </row>
    <row r="2344">
      <c r="G2344" s="3"/>
    </row>
    <row r="2345">
      <c r="G2345" s="3"/>
    </row>
    <row r="2346">
      <c r="G2346" s="3"/>
    </row>
    <row r="2347">
      <c r="G2347" s="3"/>
    </row>
    <row r="2348">
      <c r="G2348" s="3"/>
    </row>
    <row r="2349">
      <c r="G2349" s="3"/>
    </row>
    <row r="2350">
      <c r="G2350" s="3"/>
    </row>
    <row r="2351">
      <c r="G2351" s="3"/>
    </row>
    <row r="2352">
      <c r="G2352" s="3"/>
    </row>
    <row r="2353">
      <c r="G2353" s="3"/>
    </row>
    <row r="2354">
      <c r="G2354" s="3"/>
    </row>
    <row r="2355">
      <c r="G2355" s="3"/>
    </row>
    <row r="2356">
      <c r="G2356" s="3"/>
    </row>
    <row r="2357">
      <c r="G2357" s="3"/>
    </row>
    <row r="2358">
      <c r="G2358" s="3"/>
    </row>
    <row r="2359">
      <c r="G2359" s="3"/>
    </row>
    <row r="2360">
      <c r="G2360" s="3"/>
    </row>
    <row r="2361">
      <c r="G2361" s="3"/>
    </row>
    <row r="2362">
      <c r="G2362" s="3"/>
    </row>
    <row r="2363">
      <c r="G2363" s="3"/>
    </row>
    <row r="2364">
      <c r="G2364" s="3"/>
    </row>
    <row r="2365">
      <c r="G2365" s="3"/>
    </row>
    <row r="2366">
      <c r="G2366" s="3"/>
    </row>
    <row r="2367">
      <c r="G2367" s="3"/>
    </row>
    <row r="2368">
      <c r="G2368" s="3"/>
    </row>
    <row r="2369">
      <c r="G2369" s="3"/>
    </row>
    <row r="2370">
      <c r="G2370" s="3"/>
    </row>
    <row r="2371">
      <c r="G2371" s="3"/>
    </row>
    <row r="2372">
      <c r="G2372" s="3"/>
    </row>
    <row r="2373">
      <c r="G2373" s="3"/>
    </row>
    <row r="2374">
      <c r="G2374" s="3"/>
    </row>
    <row r="2375">
      <c r="G2375" s="3"/>
    </row>
    <row r="2376">
      <c r="G2376" s="3"/>
    </row>
    <row r="2377">
      <c r="G2377" s="3"/>
    </row>
    <row r="2378">
      <c r="G2378" s="3"/>
    </row>
    <row r="2379">
      <c r="G2379" s="3"/>
    </row>
    <row r="2380">
      <c r="G2380" s="3"/>
    </row>
    <row r="2381">
      <c r="G2381" s="3"/>
    </row>
    <row r="2382">
      <c r="G2382" s="3"/>
    </row>
    <row r="2383">
      <c r="G2383" s="3"/>
    </row>
    <row r="2384">
      <c r="G2384" s="3"/>
    </row>
    <row r="2385">
      <c r="G2385" s="3"/>
    </row>
    <row r="2386">
      <c r="G2386" s="3"/>
    </row>
    <row r="2387">
      <c r="G2387" s="3"/>
    </row>
    <row r="2388">
      <c r="G2388" s="3"/>
    </row>
    <row r="2389">
      <c r="G2389" s="3"/>
    </row>
    <row r="2390">
      <c r="G2390" s="3"/>
    </row>
    <row r="2391">
      <c r="G2391" s="3"/>
    </row>
    <row r="2392">
      <c r="G2392" s="3"/>
    </row>
    <row r="2393">
      <c r="G2393" s="3"/>
    </row>
    <row r="2394">
      <c r="G2394" s="3"/>
    </row>
    <row r="2395">
      <c r="G2395" s="3"/>
    </row>
    <row r="2396">
      <c r="G2396" s="3"/>
    </row>
    <row r="2397">
      <c r="G2397" s="3"/>
    </row>
    <row r="2398">
      <c r="G2398" s="3"/>
    </row>
    <row r="2399">
      <c r="G2399" s="3"/>
    </row>
    <row r="2400">
      <c r="G2400" s="3"/>
    </row>
    <row r="2401">
      <c r="G2401" s="3"/>
    </row>
    <row r="2402">
      <c r="G2402" s="3"/>
    </row>
    <row r="2403">
      <c r="G2403" s="3"/>
    </row>
    <row r="2404">
      <c r="G2404" s="3"/>
    </row>
    <row r="2405">
      <c r="G2405" s="3"/>
    </row>
    <row r="2406">
      <c r="G2406" s="3"/>
    </row>
    <row r="2407">
      <c r="G2407" s="3"/>
    </row>
    <row r="2408">
      <c r="G2408" s="3"/>
    </row>
    <row r="2409">
      <c r="G2409" s="3"/>
    </row>
    <row r="2410">
      <c r="G2410" s="3"/>
    </row>
    <row r="2411">
      <c r="G2411" s="3"/>
    </row>
    <row r="2412">
      <c r="G2412" s="3"/>
    </row>
    <row r="2413">
      <c r="G2413" s="3"/>
    </row>
    <row r="2414">
      <c r="G2414" s="3"/>
    </row>
    <row r="2415">
      <c r="G2415" s="3"/>
    </row>
    <row r="2416">
      <c r="G2416" s="3"/>
    </row>
    <row r="2417">
      <c r="G2417" s="3"/>
    </row>
    <row r="2418">
      <c r="G2418" s="3"/>
    </row>
    <row r="2419">
      <c r="G2419" s="3"/>
    </row>
    <row r="2420">
      <c r="G2420" s="3"/>
    </row>
    <row r="2421">
      <c r="G2421" s="3"/>
    </row>
    <row r="2422">
      <c r="G2422" s="3"/>
    </row>
    <row r="2423">
      <c r="G2423" s="3"/>
    </row>
    <row r="2424">
      <c r="G2424" s="3"/>
    </row>
    <row r="2425">
      <c r="G2425" s="3"/>
    </row>
    <row r="2426">
      <c r="G2426" s="3"/>
    </row>
    <row r="2427">
      <c r="G2427" s="3"/>
    </row>
    <row r="2428">
      <c r="G2428" s="3"/>
    </row>
    <row r="2429">
      <c r="G2429" s="3"/>
    </row>
    <row r="2430">
      <c r="G2430" s="3"/>
    </row>
    <row r="2431">
      <c r="G2431" s="3"/>
    </row>
    <row r="2432">
      <c r="G2432" s="3"/>
    </row>
    <row r="2433">
      <c r="G2433" s="3"/>
    </row>
    <row r="2434">
      <c r="G2434" s="3"/>
    </row>
    <row r="2435">
      <c r="G2435" s="3"/>
    </row>
    <row r="2436">
      <c r="G2436" s="3"/>
    </row>
    <row r="2437">
      <c r="G2437" s="3"/>
    </row>
    <row r="2438">
      <c r="G2438" s="3"/>
    </row>
    <row r="2439">
      <c r="G2439" s="3"/>
    </row>
    <row r="2440">
      <c r="G2440" s="3"/>
    </row>
    <row r="2441">
      <c r="G2441" s="3"/>
    </row>
    <row r="2442">
      <c r="G2442" s="3"/>
    </row>
    <row r="2443">
      <c r="G2443" s="3"/>
    </row>
    <row r="2444">
      <c r="G2444" s="3"/>
    </row>
    <row r="2445">
      <c r="G2445" s="3"/>
    </row>
    <row r="2446">
      <c r="G2446" s="3"/>
    </row>
    <row r="2447">
      <c r="G2447" s="3"/>
    </row>
    <row r="2448">
      <c r="G2448" s="3"/>
    </row>
    <row r="2449">
      <c r="G2449" s="3"/>
    </row>
    <row r="2450">
      <c r="G2450" s="3"/>
    </row>
    <row r="2451">
      <c r="G2451" s="3"/>
    </row>
    <row r="2452">
      <c r="G2452" s="3"/>
    </row>
    <row r="2453">
      <c r="G2453" s="3"/>
    </row>
    <row r="2454">
      <c r="G2454" s="3"/>
    </row>
    <row r="2455">
      <c r="G2455" s="3"/>
    </row>
    <row r="2456">
      <c r="G2456" s="3"/>
    </row>
    <row r="2457">
      <c r="G2457" s="3"/>
    </row>
    <row r="2458">
      <c r="G2458" s="3"/>
    </row>
    <row r="2459">
      <c r="G2459" s="3"/>
    </row>
    <row r="2460">
      <c r="G2460" s="3"/>
    </row>
    <row r="2461">
      <c r="G2461" s="3"/>
    </row>
    <row r="2462">
      <c r="G2462" s="3"/>
    </row>
    <row r="2463">
      <c r="G2463" s="3"/>
    </row>
    <row r="2464">
      <c r="G2464" s="3"/>
    </row>
    <row r="2465">
      <c r="G2465" s="3"/>
    </row>
    <row r="2466">
      <c r="G2466" s="3"/>
    </row>
    <row r="2467">
      <c r="G2467" s="3"/>
    </row>
    <row r="2468">
      <c r="G2468" s="3"/>
    </row>
    <row r="2469">
      <c r="G2469" s="3"/>
    </row>
    <row r="2470">
      <c r="G2470" s="3"/>
    </row>
    <row r="2471">
      <c r="G2471" s="3"/>
    </row>
    <row r="2472">
      <c r="G2472" s="3"/>
    </row>
    <row r="2473">
      <c r="G2473" s="3"/>
    </row>
    <row r="2474">
      <c r="G2474" s="3"/>
    </row>
    <row r="2475">
      <c r="G2475" s="3"/>
    </row>
    <row r="2476">
      <c r="G2476" s="3"/>
    </row>
    <row r="2477">
      <c r="G2477" s="3"/>
    </row>
    <row r="2478">
      <c r="G2478" s="3"/>
    </row>
    <row r="2479">
      <c r="G2479" s="3"/>
    </row>
    <row r="2480">
      <c r="G2480" s="3"/>
    </row>
    <row r="2481">
      <c r="G2481" s="3"/>
    </row>
    <row r="2482">
      <c r="G2482" s="3"/>
    </row>
    <row r="2483">
      <c r="G2483" s="3"/>
    </row>
    <row r="2484">
      <c r="G2484" s="3"/>
    </row>
    <row r="2485">
      <c r="G2485" s="3"/>
    </row>
    <row r="2486">
      <c r="G2486" s="3"/>
    </row>
    <row r="2487">
      <c r="G2487" s="3"/>
    </row>
    <row r="2488">
      <c r="G2488" s="3"/>
    </row>
    <row r="2489">
      <c r="G2489" s="3"/>
    </row>
    <row r="2490">
      <c r="G2490" s="3"/>
    </row>
    <row r="2491">
      <c r="G2491" s="3"/>
    </row>
    <row r="2492">
      <c r="G2492" s="3"/>
    </row>
    <row r="2493">
      <c r="G2493" s="3"/>
    </row>
    <row r="2494">
      <c r="G2494" s="3"/>
    </row>
    <row r="2495">
      <c r="G2495" s="3"/>
    </row>
    <row r="2496">
      <c r="G2496" s="3"/>
    </row>
    <row r="2497">
      <c r="G2497" s="3"/>
    </row>
    <row r="2498">
      <c r="G2498" s="3"/>
    </row>
    <row r="2499">
      <c r="G2499" s="3"/>
    </row>
    <row r="2500">
      <c r="G2500" s="3"/>
    </row>
    <row r="2501">
      <c r="G2501" s="3"/>
    </row>
    <row r="2502">
      <c r="G2502" s="3"/>
    </row>
    <row r="2503">
      <c r="G2503" s="3"/>
    </row>
    <row r="2504">
      <c r="G2504" s="3"/>
    </row>
    <row r="2505">
      <c r="G2505" s="3"/>
    </row>
    <row r="2506">
      <c r="G2506" s="3"/>
    </row>
    <row r="2507">
      <c r="G2507" s="3"/>
    </row>
    <row r="2508">
      <c r="G2508" s="3"/>
    </row>
    <row r="2509">
      <c r="G2509" s="3"/>
    </row>
    <row r="2510">
      <c r="G2510" s="3"/>
    </row>
    <row r="2511">
      <c r="G2511" s="3"/>
    </row>
    <row r="2512">
      <c r="G2512" s="3"/>
    </row>
    <row r="2513">
      <c r="G2513" s="3"/>
    </row>
    <row r="2514">
      <c r="G2514" s="3"/>
    </row>
    <row r="2515">
      <c r="G2515" s="3"/>
    </row>
    <row r="2516">
      <c r="G2516" s="3"/>
    </row>
    <row r="2517">
      <c r="G2517" s="3"/>
    </row>
    <row r="2518">
      <c r="G2518" s="3"/>
    </row>
    <row r="2519">
      <c r="G2519" s="3"/>
    </row>
    <row r="2520">
      <c r="G2520" s="3"/>
    </row>
    <row r="2521">
      <c r="G2521" s="3"/>
    </row>
    <row r="2522">
      <c r="G2522" s="3"/>
    </row>
    <row r="2523">
      <c r="G2523" s="3"/>
    </row>
    <row r="2524">
      <c r="G2524" s="3"/>
    </row>
    <row r="2525">
      <c r="G2525" s="3"/>
    </row>
    <row r="2526">
      <c r="G2526" s="3"/>
    </row>
    <row r="2527">
      <c r="G2527" s="3"/>
    </row>
    <row r="2528">
      <c r="G2528" s="3"/>
    </row>
    <row r="2529">
      <c r="G2529" s="3"/>
    </row>
    <row r="2530">
      <c r="G2530" s="3"/>
    </row>
    <row r="2531">
      <c r="G2531" s="3"/>
    </row>
    <row r="2532">
      <c r="G2532" s="3"/>
    </row>
    <row r="2533">
      <c r="G2533" s="3"/>
    </row>
    <row r="2534">
      <c r="G2534" s="3"/>
    </row>
    <row r="2535">
      <c r="G2535" s="3"/>
    </row>
    <row r="2536">
      <c r="G2536" s="3"/>
    </row>
    <row r="2537">
      <c r="G2537" s="3"/>
    </row>
    <row r="2538">
      <c r="G2538" s="3"/>
    </row>
    <row r="2539">
      <c r="G2539" s="3"/>
    </row>
    <row r="2540">
      <c r="G2540" s="3"/>
    </row>
    <row r="2541">
      <c r="G2541" s="3"/>
    </row>
    <row r="2542">
      <c r="G2542" s="3"/>
    </row>
    <row r="2543">
      <c r="G2543" s="3"/>
    </row>
    <row r="2544">
      <c r="G2544" s="3"/>
    </row>
    <row r="2545">
      <c r="G2545" s="3"/>
    </row>
    <row r="2546">
      <c r="G2546" s="3"/>
    </row>
    <row r="2547">
      <c r="G2547" s="3"/>
    </row>
    <row r="2548">
      <c r="G2548" s="3"/>
    </row>
    <row r="2549">
      <c r="G2549" s="3"/>
    </row>
    <row r="2550">
      <c r="G2550" s="3"/>
    </row>
    <row r="2551">
      <c r="G2551" s="3"/>
    </row>
    <row r="2552">
      <c r="G2552" s="3"/>
    </row>
    <row r="2553">
      <c r="G2553" s="3"/>
    </row>
    <row r="2554">
      <c r="G2554" s="3"/>
    </row>
    <row r="2555">
      <c r="G2555" s="3"/>
    </row>
    <row r="2556">
      <c r="G2556" s="3"/>
    </row>
    <row r="2557">
      <c r="G2557" s="3"/>
    </row>
    <row r="2558">
      <c r="G2558" s="3"/>
    </row>
    <row r="2559">
      <c r="G2559" s="3"/>
    </row>
    <row r="2560">
      <c r="G2560" s="3"/>
    </row>
    <row r="2561">
      <c r="G2561" s="3"/>
    </row>
    <row r="2562">
      <c r="G2562" s="3"/>
    </row>
    <row r="2563">
      <c r="G2563" s="3"/>
    </row>
    <row r="2564">
      <c r="G2564" s="3"/>
    </row>
    <row r="2565">
      <c r="G2565" s="3"/>
    </row>
    <row r="2566">
      <c r="G2566" s="3"/>
    </row>
    <row r="2567">
      <c r="G2567" s="3"/>
    </row>
    <row r="2568">
      <c r="G2568" s="3"/>
    </row>
    <row r="2569">
      <c r="G2569" s="3"/>
    </row>
    <row r="2570">
      <c r="G2570" s="3"/>
    </row>
    <row r="2571">
      <c r="G2571" s="3"/>
    </row>
    <row r="2572">
      <c r="G2572" s="3"/>
    </row>
    <row r="2573">
      <c r="G2573" s="3"/>
    </row>
    <row r="2574">
      <c r="G2574" s="3"/>
    </row>
    <row r="2575">
      <c r="G2575" s="3"/>
    </row>
    <row r="2576">
      <c r="G2576" s="3"/>
    </row>
    <row r="2577">
      <c r="G2577" s="3"/>
    </row>
    <row r="2578">
      <c r="G2578" s="3"/>
    </row>
    <row r="2579">
      <c r="G2579" s="3"/>
    </row>
    <row r="2580">
      <c r="G2580" s="3"/>
    </row>
    <row r="2581">
      <c r="G2581" s="3"/>
    </row>
    <row r="2582">
      <c r="G2582" s="3"/>
    </row>
    <row r="2583">
      <c r="G2583" s="3"/>
    </row>
    <row r="2584">
      <c r="G2584" s="3"/>
    </row>
    <row r="2585">
      <c r="G2585" s="3"/>
    </row>
    <row r="2586">
      <c r="G2586" s="3"/>
    </row>
    <row r="2587">
      <c r="G2587" s="3"/>
    </row>
    <row r="2588">
      <c r="G2588" s="3"/>
    </row>
    <row r="2589">
      <c r="G2589" s="3"/>
    </row>
    <row r="2590">
      <c r="G2590" s="3"/>
    </row>
    <row r="2591">
      <c r="G2591" s="3"/>
    </row>
    <row r="2592">
      <c r="G2592" s="3"/>
    </row>
    <row r="2593">
      <c r="G2593" s="3"/>
    </row>
    <row r="2594">
      <c r="G2594" s="3"/>
    </row>
    <row r="2595">
      <c r="G2595" s="3"/>
    </row>
    <row r="2596">
      <c r="G2596" s="3"/>
    </row>
    <row r="2597">
      <c r="G2597" s="3"/>
    </row>
    <row r="2598">
      <c r="G2598" s="3"/>
    </row>
    <row r="2599">
      <c r="G2599" s="3"/>
    </row>
    <row r="2600">
      <c r="G2600" s="3"/>
    </row>
    <row r="2601">
      <c r="G2601" s="3"/>
    </row>
    <row r="2602">
      <c r="G2602" s="3"/>
    </row>
    <row r="2603">
      <c r="G2603" s="3"/>
    </row>
    <row r="2604">
      <c r="G2604" s="3"/>
    </row>
    <row r="2605">
      <c r="G2605" s="3"/>
    </row>
    <row r="2606">
      <c r="G2606" s="3"/>
    </row>
    <row r="2607">
      <c r="G2607" s="3"/>
    </row>
    <row r="2608">
      <c r="G2608" s="3"/>
    </row>
    <row r="2609">
      <c r="G2609" s="3"/>
    </row>
    <row r="2610">
      <c r="G2610" s="3"/>
    </row>
    <row r="2611">
      <c r="G2611" s="3"/>
    </row>
    <row r="2612">
      <c r="G2612" s="3"/>
    </row>
    <row r="2613">
      <c r="G2613" s="3"/>
    </row>
    <row r="2614">
      <c r="G2614" s="3"/>
    </row>
    <row r="2615">
      <c r="G2615" s="3"/>
    </row>
    <row r="2616">
      <c r="G2616" s="3"/>
    </row>
    <row r="2617">
      <c r="G2617" s="3"/>
    </row>
    <row r="2618">
      <c r="G2618" s="3"/>
    </row>
    <row r="2619">
      <c r="G2619" s="3"/>
    </row>
    <row r="2620">
      <c r="G2620" s="3"/>
    </row>
    <row r="2621">
      <c r="G2621" s="3"/>
    </row>
    <row r="2622">
      <c r="G2622" s="3"/>
    </row>
    <row r="2623">
      <c r="G2623" s="3"/>
    </row>
    <row r="2624">
      <c r="G2624" s="3"/>
    </row>
    <row r="2625">
      <c r="G2625" s="3"/>
    </row>
    <row r="2626">
      <c r="G2626" s="3"/>
    </row>
    <row r="2627">
      <c r="G2627" s="3"/>
    </row>
    <row r="2628">
      <c r="G2628" s="3"/>
    </row>
    <row r="2629">
      <c r="G2629" s="3"/>
    </row>
    <row r="2630">
      <c r="G2630" s="3"/>
    </row>
    <row r="2631">
      <c r="G2631" s="3"/>
    </row>
    <row r="2632">
      <c r="G2632" s="3"/>
    </row>
    <row r="2633">
      <c r="G2633" s="3"/>
    </row>
    <row r="2634">
      <c r="G2634" s="3"/>
    </row>
    <row r="2635">
      <c r="G2635" s="3"/>
    </row>
    <row r="2636">
      <c r="G2636" s="3"/>
    </row>
    <row r="2637">
      <c r="G2637" s="3"/>
    </row>
    <row r="2638">
      <c r="G2638" s="3"/>
    </row>
    <row r="2639">
      <c r="G2639" s="3"/>
    </row>
    <row r="2640">
      <c r="G2640" s="3"/>
    </row>
    <row r="2641">
      <c r="G2641" s="3"/>
    </row>
    <row r="2642">
      <c r="G2642" s="3"/>
    </row>
    <row r="2643">
      <c r="G2643" s="3"/>
    </row>
    <row r="2644">
      <c r="G2644" s="3"/>
    </row>
    <row r="2645">
      <c r="G2645" s="3"/>
    </row>
    <row r="2646">
      <c r="G2646" s="3"/>
    </row>
    <row r="2647">
      <c r="G2647" s="3"/>
    </row>
    <row r="2648">
      <c r="G2648" s="3"/>
    </row>
    <row r="2649">
      <c r="G2649" s="3"/>
    </row>
    <row r="2650">
      <c r="G2650" s="3"/>
    </row>
    <row r="2651">
      <c r="G2651" s="3"/>
    </row>
    <row r="2652">
      <c r="G2652" s="3"/>
    </row>
    <row r="2653">
      <c r="G2653" s="3"/>
    </row>
    <row r="2654">
      <c r="G2654" s="3"/>
    </row>
    <row r="2655">
      <c r="G2655" s="3"/>
    </row>
    <row r="2656">
      <c r="G2656" s="3"/>
    </row>
    <row r="2657">
      <c r="G2657" s="3"/>
    </row>
    <row r="2658">
      <c r="G2658" s="3"/>
    </row>
    <row r="2659">
      <c r="G2659" s="3"/>
    </row>
    <row r="2660">
      <c r="G2660" s="3"/>
    </row>
    <row r="2661">
      <c r="G2661" s="3"/>
    </row>
    <row r="2662">
      <c r="G2662" s="3"/>
    </row>
    <row r="2663">
      <c r="G2663" s="3"/>
    </row>
    <row r="2664">
      <c r="G2664" s="3"/>
    </row>
    <row r="2665">
      <c r="G2665" s="3"/>
    </row>
    <row r="2666">
      <c r="G2666" s="3"/>
    </row>
    <row r="2667">
      <c r="G2667" s="3"/>
    </row>
    <row r="2668">
      <c r="G2668" s="3"/>
    </row>
    <row r="2669">
      <c r="G2669" s="3"/>
    </row>
    <row r="2670">
      <c r="G2670" s="3"/>
    </row>
    <row r="2671">
      <c r="G2671" s="3"/>
    </row>
    <row r="2672">
      <c r="G2672" s="3"/>
    </row>
    <row r="2673">
      <c r="G2673" s="3"/>
    </row>
    <row r="2674">
      <c r="G2674" s="3"/>
    </row>
    <row r="2675">
      <c r="G2675" s="3"/>
    </row>
    <row r="2676">
      <c r="G2676" s="3"/>
    </row>
    <row r="2677">
      <c r="G2677" s="3"/>
    </row>
    <row r="2678">
      <c r="G2678" s="3"/>
    </row>
    <row r="2679">
      <c r="G2679" s="3"/>
    </row>
    <row r="2680">
      <c r="G2680" s="3"/>
    </row>
    <row r="2681">
      <c r="G2681" s="3"/>
    </row>
    <row r="2682">
      <c r="G2682" s="3"/>
    </row>
    <row r="2683">
      <c r="G2683" s="3"/>
    </row>
    <row r="2684">
      <c r="G2684" s="3"/>
    </row>
    <row r="2685">
      <c r="G2685" s="3"/>
    </row>
    <row r="2686">
      <c r="G2686" s="3"/>
    </row>
    <row r="2687">
      <c r="G2687" s="3"/>
    </row>
    <row r="2688">
      <c r="G2688" s="3"/>
    </row>
    <row r="2689">
      <c r="G2689" s="3"/>
    </row>
    <row r="2690">
      <c r="G2690" s="3"/>
    </row>
    <row r="2691">
      <c r="G2691" s="3"/>
    </row>
    <row r="2692">
      <c r="G2692" s="3"/>
    </row>
    <row r="2693">
      <c r="G2693" s="3"/>
    </row>
    <row r="2694">
      <c r="G2694" s="3"/>
    </row>
    <row r="2695">
      <c r="G2695" s="3"/>
    </row>
    <row r="2696">
      <c r="G2696" s="3"/>
    </row>
    <row r="2697">
      <c r="G2697" s="3"/>
    </row>
    <row r="2698">
      <c r="G2698" s="3"/>
    </row>
    <row r="2699">
      <c r="G2699" s="3"/>
    </row>
    <row r="2700">
      <c r="G2700" s="3"/>
    </row>
    <row r="2701">
      <c r="G2701" s="3"/>
    </row>
    <row r="2702">
      <c r="G2702" s="3"/>
    </row>
    <row r="2703">
      <c r="G2703" s="3"/>
    </row>
    <row r="2704">
      <c r="G2704" s="3"/>
    </row>
    <row r="2705">
      <c r="G2705" s="3"/>
    </row>
    <row r="2706">
      <c r="G2706" s="3"/>
    </row>
    <row r="2707">
      <c r="G2707" s="3"/>
    </row>
    <row r="2708">
      <c r="G2708" s="3"/>
    </row>
    <row r="2709">
      <c r="G2709" s="3"/>
    </row>
    <row r="2710">
      <c r="G2710" s="3"/>
    </row>
    <row r="2711">
      <c r="G2711" s="3"/>
    </row>
    <row r="2712">
      <c r="G2712" s="3"/>
    </row>
    <row r="2713">
      <c r="G2713" s="3"/>
    </row>
    <row r="2714">
      <c r="G2714" s="3"/>
    </row>
    <row r="2715">
      <c r="G2715" s="3"/>
    </row>
    <row r="2716">
      <c r="G2716" s="3"/>
    </row>
    <row r="2717">
      <c r="G2717" s="3"/>
    </row>
    <row r="2718">
      <c r="G2718" s="3"/>
    </row>
    <row r="2719">
      <c r="G2719" s="3"/>
    </row>
    <row r="2720">
      <c r="G2720" s="3"/>
    </row>
    <row r="2721">
      <c r="G2721" s="3"/>
    </row>
    <row r="2722">
      <c r="G2722" s="3"/>
    </row>
    <row r="2723">
      <c r="G2723" s="3"/>
    </row>
    <row r="2724">
      <c r="G2724" s="3"/>
    </row>
    <row r="2725">
      <c r="G2725" s="3"/>
    </row>
    <row r="2726">
      <c r="G2726" s="3"/>
    </row>
    <row r="2727">
      <c r="G2727" s="3"/>
    </row>
    <row r="2728">
      <c r="G2728" s="3"/>
    </row>
    <row r="2729">
      <c r="G2729" s="3"/>
    </row>
    <row r="2730">
      <c r="G2730" s="3"/>
    </row>
    <row r="2731">
      <c r="G2731" s="3"/>
    </row>
    <row r="2732">
      <c r="G2732" s="3"/>
    </row>
    <row r="2733">
      <c r="G2733" s="3"/>
    </row>
    <row r="2734">
      <c r="G2734" s="3"/>
    </row>
    <row r="2735">
      <c r="G2735" s="3"/>
    </row>
    <row r="2736">
      <c r="G2736" s="3"/>
    </row>
    <row r="2737">
      <c r="G2737" s="3"/>
    </row>
    <row r="2738">
      <c r="G2738" s="3"/>
    </row>
    <row r="2739">
      <c r="G2739" s="3"/>
    </row>
    <row r="2740">
      <c r="G2740" s="3"/>
    </row>
    <row r="2741">
      <c r="G2741" s="3"/>
    </row>
    <row r="2742">
      <c r="G2742" s="3"/>
    </row>
    <row r="2743">
      <c r="G2743" s="3"/>
    </row>
    <row r="2744">
      <c r="G2744" s="3"/>
    </row>
    <row r="2745">
      <c r="G2745" s="3"/>
    </row>
    <row r="2746">
      <c r="G2746" s="3"/>
    </row>
    <row r="2747">
      <c r="G2747" s="3"/>
    </row>
    <row r="2748">
      <c r="G2748" s="3"/>
    </row>
    <row r="2749">
      <c r="G2749" s="3"/>
    </row>
    <row r="2750">
      <c r="G2750" s="3"/>
    </row>
    <row r="2751">
      <c r="G2751" s="3"/>
    </row>
    <row r="2752">
      <c r="G2752" s="3"/>
    </row>
    <row r="2753">
      <c r="G2753" s="3"/>
    </row>
    <row r="2754">
      <c r="G2754" s="3"/>
    </row>
    <row r="2755">
      <c r="G2755" s="3"/>
    </row>
    <row r="2756">
      <c r="G2756" s="3"/>
    </row>
    <row r="2757">
      <c r="G2757" s="3"/>
    </row>
    <row r="2758">
      <c r="G2758" s="3"/>
    </row>
    <row r="2759">
      <c r="G2759" s="3"/>
    </row>
    <row r="2760">
      <c r="G2760" s="3"/>
    </row>
    <row r="2761">
      <c r="G2761" s="3"/>
    </row>
    <row r="2762">
      <c r="G2762" s="3"/>
    </row>
    <row r="2763">
      <c r="G2763" s="3"/>
    </row>
    <row r="2764">
      <c r="G2764" s="3"/>
    </row>
    <row r="2765">
      <c r="G2765" s="3"/>
    </row>
    <row r="2766">
      <c r="G2766" s="3"/>
    </row>
    <row r="2767">
      <c r="G2767" s="3"/>
    </row>
    <row r="2768">
      <c r="G2768" s="3"/>
    </row>
    <row r="2769">
      <c r="G2769" s="3"/>
    </row>
    <row r="2770">
      <c r="G2770" s="3"/>
    </row>
    <row r="2771">
      <c r="G2771" s="3"/>
    </row>
    <row r="2772">
      <c r="G2772" s="3"/>
    </row>
    <row r="2773">
      <c r="G2773" s="3"/>
    </row>
    <row r="2774">
      <c r="G2774" s="3"/>
    </row>
    <row r="2775">
      <c r="G2775" s="3"/>
    </row>
    <row r="2776">
      <c r="G2776" s="3"/>
    </row>
    <row r="2777">
      <c r="G2777" s="3"/>
    </row>
    <row r="2778">
      <c r="G2778" s="3"/>
    </row>
    <row r="2779">
      <c r="G2779" s="3"/>
    </row>
    <row r="2780">
      <c r="G2780" s="3"/>
    </row>
    <row r="2781">
      <c r="G2781" s="3"/>
    </row>
    <row r="2782">
      <c r="G2782" s="3"/>
    </row>
    <row r="2783">
      <c r="G2783" s="3"/>
    </row>
    <row r="2784">
      <c r="G2784" s="3"/>
    </row>
    <row r="2785">
      <c r="G2785" s="3"/>
    </row>
    <row r="2786">
      <c r="G2786" s="3"/>
    </row>
    <row r="2787">
      <c r="G2787" s="3"/>
    </row>
    <row r="2788">
      <c r="G2788" s="3"/>
    </row>
    <row r="2789">
      <c r="G2789" s="3"/>
    </row>
    <row r="2790">
      <c r="G2790" s="3"/>
    </row>
    <row r="2791">
      <c r="G2791" s="3"/>
    </row>
    <row r="2792">
      <c r="G2792" s="3"/>
    </row>
    <row r="2793">
      <c r="G2793" s="3"/>
    </row>
    <row r="2794">
      <c r="G2794" s="3"/>
    </row>
    <row r="2795">
      <c r="G2795" s="3"/>
    </row>
    <row r="2796">
      <c r="G2796" s="3"/>
    </row>
    <row r="2797">
      <c r="G2797" s="3"/>
    </row>
    <row r="2798">
      <c r="G2798" s="3"/>
    </row>
    <row r="2799">
      <c r="G2799" s="3"/>
    </row>
    <row r="2800">
      <c r="G2800" s="3"/>
    </row>
    <row r="2801">
      <c r="G2801" s="3"/>
    </row>
    <row r="2802">
      <c r="G2802" s="3"/>
    </row>
    <row r="2803">
      <c r="G2803" s="3"/>
    </row>
    <row r="2804">
      <c r="G2804" s="3"/>
    </row>
    <row r="2805">
      <c r="G2805" s="3"/>
    </row>
    <row r="2806">
      <c r="G2806" s="3"/>
    </row>
    <row r="2807">
      <c r="G2807" s="3"/>
    </row>
    <row r="2808">
      <c r="G2808" s="3"/>
    </row>
    <row r="2809">
      <c r="G2809" s="3"/>
    </row>
    <row r="2810">
      <c r="G2810" s="3"/>
    </row>
    <row r="2811">
      <c r="G2811" s="3"/>
    </row>
    <row r="2812">
      <c r="G2812" s="3"/>
    </row>
    <row r="2813">
      <c r="G2813" s="3"/>
    </row>
    <row r="2814">
      <c r="G2814" s="3"/>
    </row>
    <row r="2815">
      <c r="G2815" s="3"/>
    </row>
    <row r="2816">
      <c r="G2816" s="3"/>
    </row>
    <row r="2817">
      <c r="G2817" s="3"/>
    </row>
    <row r="2818">
      <c r="G2818" s="3"/>
    </row>
    <row r="2819">
      <c r="G2819" s="3"/>
    </row>
    <row r="2820">
      <c r="G2820" s="3"/>
    </row>
    <row r="2821">
      <c r="G2821" s="3"/>
    </row>
    <row r="2822">
      <c r="G2822" s="3"/>
    </row>
    <row r="2823">
      <c r="G2823" s="3"/>
    </row>
    <row r="2824">
      <c r="G2824" s="3"/>
    </row>
    <row r="2825">
      <c r="G2825" s="3"/>
    </row>
    <row r="2826">
      <c r="G2826" s="3"/>
    </row>
    <row r="2827">
      <c r="G2827" s="3"/>
    </row>
    <row r="2828">
      <c r="G2828" s="3"/>
    </row>
    <row r="2829">
      <c r="G2829" s="3"/>
    </row>
    <row r="2830">
      <c r="G2830" s="3"/>
    </row>
    <row r="2831">
      <c r="G2831" s="3"/>
    </row>
    <row r="2832">
      <c r="G2832" s="3"/>
    </row>
    <row r="2833">
      <c r="G2833" s="3"/>
    </row>
    <row r="2834">
      <c r="G2834" s="3"/>
    </row>
    <row r="2835">
      <c r="G2835" s="3"/>
    </row>
    <row r="2836">
      <c r="G2836" s="3"/>
    </row>
    <row r="2837">
      <c r="G2837" s="3"/>
    </row>
    <row r="2838">
      <c r="G2838" s="3"/>
    </row>
    <row r="2839">
      <c r="G2839" s="3"/>
    </row>
    <row r="2840">
      <c r="G2840" s="3"/>
    </row>
    <row r="2841">
      <c r="G2841" s="3"/>
    </row>
    <row r="2842">
      <c r="G2842" s="3"/>
    </row>
    <row r="2843">
      <c r="G2843" s="3"/>
    </row>
    <row r="2844">
      <c r="G2844" s="3"/>
    </row>
    <row r="2845">
      <c r="G2845" s="3"/>
    </row>
    <row r="2846">
      <c r="G2846" s="3"/>
    </row>
    <row r="2847">
      <c r="G2847" s="3"/>
    </row>
    <row r="2848">
      <c r="G2848" s="3"/>
    </row>
    <row r="2849">
      <c r="G2849" s="3"/>
    </row>
    <row r="2850">
      <c r="G2850" s="3"/>
    </row>
    <row r="2851">
      <c r="G2851" s="3"/>
    </row>
    <row r="2852">
      <c r="G2852" s="3"/>
    </row>
    <row r="2853">
      <c r="G2853" s="3"/>
    </row>
    <row r="2854">
      <c r="G2854" s="3"/>
    </row>
    <row r="2855">
      <c r="G2855" s="3"/>
    </row>
    <row r="2856">
      <c r="G2856" s="3"/>
    </row>
    <row r="2857">
      <c r="G2857" s="3"/>
    </row>
    <row r="2858">
      <c r="G2858" s="3"/>
    </row>
    <row r="2859">
      <c r="G2859" s="3"/>
    </row>
    <row r="2860">
      <c r="G2860" s="3"/>
    </row>
    <row r="2861">
      <c r="G2861" s="3"/>
    </row>
    <row r="2862">
      <c r="G2862" s="3"/>
    </row>
    <row r="2863">
      <c r="G2863" s="3"/>
    </row>
    <row r="2864">
      <c r="G2864" s="3"/>
    </row>
    <row r="2865">
      <c r="G2865" s="3"/>
    </row>
    <row r="2866">
      <c r="G2866" s="3"/>
    </row>
    <row r="2867">
      <c r="G2867" s="3"/>
    </row>
    <row r="2868">
      <c r="G2868" s="3"/>
    </row>
    <row r="2869">
      <c r="G2869" s="3"/>
    </row>
    <row r="2870">
      <c r="G2870" s="3"/>
    </row>
    <row r="2871">
      <c r="G2871" s="3"/>
    </row>
    <row r="2872">
      <c r="G2872" s="3"/>
    </row>
    <row r="2873">
      <c r="G2873" s="3"/>
    </row>
    <row r="2874">
      <c r="G2874" s="3"/>
    </row>
    <row r="2875">
      <c r="G2875" s="3"/>
    </row>
    <row r="2876">
      <c r="G2876" s="3"/>
    </row>
    <row r="2877">
      <c r="G2877" s="3"/>
    </row>
    <row r="2878">
      <c r="G2878" s="3"/>
    </row>
    <row r="2879">
      <c r="G2879" s="3"/>
    </row>
    <row r="2880">
      <c r="G2880" s="3"/>
    </row>
    <row r="2881">
      <c r="G2881" s="3"/>
    </row>
    <row r="2882">
      <c r="G2882" s="3"/>
    </row>
    <row r="2883">
      <c r="G2883" s="3"/>
    </row>
    <row r="2884">
      <c r="G2884" s="3"/>
    </row>
    <row r="2885">
      <c r="G2885" s="3"/>
    </row>
    <row r="2886">
      <c r="G2886" s="3"/>
    </row>
    <row r="2887">
      <c r="G2887" s="3"/>
    </row>
    <row r="2888">
      <c r="G2888" s="3"/>
    </row>
    <row r="2889">
      <c r="G2889" s="3"/>
    </row>
    <row r="2890">
      <c r="G2890" s="3"/>
    </row>
    <row r="2891">
      <c r="G2891" s="3"/>
    </row>
    <row r="2892">
      <c r="G2892" s="3"/>
    </row>
    <row r="2893">
      <c r="G2893" s="3"/>
    </row>
    <row r="2894">
      <c r="G2894" s="3"/>
    </row>
    <row r="2895">
      <c r="G2895" s="3"/>
    </row>
    <row r="2896">
      <c r="G2896" s="3"/>
    </row>
    <row r="2897">
      <c r="G2897" s="3"/>
    </row>
    <row r="2898">
      <c r="G2898" s="3"/>
    </row>
    <row r="2899">
      <c r="G2899" s="3"/>
    </row>
    <row r="2900">
      <c r="G2900" s="3"/>
    </row>
    <row r="2901">
      <c r="G2901" s="3"/>
    </row>
    <row r="2902">
      <c r="G2902" s="3"/>
    </row>
    <row r="2903">
      <c r="G2903" s="3"/>
    </row>
    <row r="2904">
      <c r="G2904" s="3"/>
    </row>
    <row r="2905">
      <c r="G2905" s="3"/>
    </row>
    <row r="2906">
      <c r="G2906" s="3"/>
    </row>
    <row r="2907">
      <c r="G2907" s="3"/>
    </row>
    <row r="2908">
      <c r="G2908" s="3"/>
    </row>
    <row r="2909">
      <c r="G2909" s="3"/>
    </row>
    <row r="2910">
      <c r="G2910" s="3"/>
    </row>
    <row r="2911">
      <c r="G2911" s="3"/>
    </row>
    <row r="2912">
      <c r="G2912" s="3"/>
    </row>
    <row r="2913">
      <c r="G2913" s="3"/>
    </row>
    <row r="2914">
      <c r="G2914" s="3"/>
    </row>
    <row r="2915">
      <c r="G2915" s="3"/>
    </row>
    <row r="2916">
      <c r="G2916" s="3"/>
    </row>
    <row r="2917">
      <c r="G2917" s="3"/>
    </row>
    <row r="2918">
      <c r="G2918" s="3"/>
    </row>
    <row r="2919">
      <c r="G2919" s="3"/>
    </row>
    <row r="2920">
      <c r="G2920" s="3"/>
    </row>
    <row r="2921">
      <c r="G2921" s="3"/>
    </row>
    <row r="2922">
      <c r="G2922" s="3"/>
    </row>
    <row r="2923">
      <c r="G2923" s="3"/>
    </row>
    <row r="2924">
      <c r="G2924" s="3"/>
    </row>
    <row r="2925">
      <c r="G2925" s="3"/>
    </row>
    <row r="2926">
      <c r="G2926" s="3"/>
    </row>
    <row r="2927">
      <c r="G2927" s="3"/>
    </row>
    <row r="2928">
      <c r="G2928" s="3"/>
    </row>
    <row r="2929">
      <c r="G2929" s="3"/>
    </row>
    <row r="2930">
      <c r="G2930" s="3"/>
    </row>
    <row r="2931">
      <c r="G2931" s="3"/>
    </row>
    <row r="2932">
      <c r="G2932" s="3"/>
    </row>
    <row r="2933">
      <c r="G2933" s="3"/>
    </row>
    <row r="2934">
      <c r="G2934" s="3"/>
    </row>
    <row r="2935">
      <c r="G2935" s="3"/>
    </row>
    <row r="2936">
      <c r="G2936" s="3"/>
    </row>
    <row r="2937">
      <c r="G2937" s="3"/>
    </row>
    <row r="2938">
      <c r="G2938" s="3"/>
    </row>
    <row r="2939">
      <c r="G2939" s="3"/>
    </row>
    <row r="2940">
      <c r="G2940" s="3"/>
    </row>
    <row r="2941">
      <c r="G2941" s="3"/>
    </row>
    <row r="2942">
      <c r="G2942" s="3"/>
    </row>
    <row r="2943">
      <c r="G2943" s="3"/>
    </row>
    <row r="2944">
      <c r="G2944" s="3"/>
    </row>
    <row r="2945">
      <c r="G2945" s="3"/>
    </row>
    <row r="2946">
      <c r="G2946" s="3"/>
    </row>
    <row r="2947">
      <c r="G2947" s="3"/>
    </row>
    <row r="2948">
      <c r="G2948" s="3"/>
    </row>
    <row r="2949">
      <c r="G2949" s="3"/>
    </row>
    <row r="2950">
      <c r="G2950" s="3"/>
    </row>
    <row r="2951">
      <c r="G2951" s="3"/>
    </row>
    <row r="2952">
      <c r="G2952" s="3"/>
    </row>
    <row r="2953">
      <c r="G2953" s="3"/>
    </row>
    <row r="2954">
      <c r="G2954" s="3"/>
    </row>
    <row r="2955">
      <c r="G2955" s="3"/>
    </row>
    <row r="2956">
      <c r="G2956" s="3"/>
    </row>
    <row r="2957">
      <c r="G2957" s="3"/>
    </row>
    <row r="2958">
      <c r="G2958" s="3"/>
    </row>
    <row r="2959">
      <c r="G2959" s="3"/>
    </row>
    <row r="2960">
      <c r="G2960" s="3"/>
    </row>
    <row r="2961">
      <c r="G2961" s="3"/>
    </row>
    <row r="2962">
      <c r="G2962" s="3"/>
    </row>
    <row r="2963">
      <c r="G2963" s="3"/>
    </row>
    <row r="2964">
      <c r="G2964" s="3"/>
    </row>
    <row r="2965">
      <c r="G2965" s="3"/>
    </row>
    <row r="2966">
      <c r="G2966" s="3"/>
    </row>
    <row r="2967">
      <c r="G2967" s="3"/>
    </row>
    <row r="2968">
      <c r="G2968" s="3"/>
    </row>
    <row r="2969">
      <c r="G2969" s="3"/>
    </row>
    <row r="2970">
      <c r="G2970" s="3"/>
    </row>
    <row r="2971">
      <c r="G2971" s="3"/>
    </row>
    <row r="2972">
      <c r="G2972" s="3"/>
    </row>
    <row r="2973">
      <c r="G2973" s="3"/>
    </row>
    <row r="2974">
      <c r="G2974" s="3"/>
    </row>
    <row r="2975">
      <c r="G2975" s="3"/>
    </row>
    <row r="2976">
      <c r="G2976" s="3"/>
    </row>
    <row r="2977">
      <c r="G2977" s="3"/>
    </row>
    <row r="2978">
      <c r="G2978" s="3"/>
    </row>
    <row r="2979">
      <c r="G2979" s="3"/>
    </row>
    <row r="2980">
      <c r="G2980" s="3"/>
    </row>
    <row r="2981">
      <c r="G2981" s="3"/>
    </row>
    <row r="2982">
      <c r="G2982" s="3"/>
    </row>
    <row r="2983">
      <c r="G2983" s="3"/>
    </row>
    <row r="2984">
      <c r="G2984" s="3"/>
    </row>
    <row r="2985">
      <c r="G2985" s="3"/>
    </row>
    <row r="2986">
      <c r="G2986" s="3"/>
    </row>
    <row r="2987">
      <c r="G2987" s="3"/>
    </row>
    <row r="2988">
      <c r="G2988" s="3"/>
    </row>
    <row r="2989">
      <c r="G2989" s="3"/>
    </row>
    <row r="2990">
      <c r="G2990" s="3"/>
    </row>
    <row r="2991">
      <c r="G2991" s="3"/>
    </row>
    <row r="2992">
      <c r="G2992" s="3"/>
    </row>
    <row r="2993">
      <c r="G2993" s="3"/>
    </row>
    <row r="2994">
      <c r="G2994" s="3"/>
    </row>
    <row r="2995">
      <c r="G2995" s="3"/>
    </row>
    <row r="2996">
      <c r="G2996" s="3"/>
    </row>
    <row r="2997">
      <c r="G2997" s="3"/>
    </row>
    <row r="2998">
      <c r="G2998" s="3"/>
    </row>
    <row r="2999">
      <c r="G2999" s="3"/>
    </row>
    <row r="3000">
      <c r="G3000" s="3"/>
    </row>
    <row r="3001">
      <c r="G3001" s="3"/>
    </row>
    <row r="3002">
      <c r="G3002" s="3"/>
    </row>
    <row r="3003">
      <c r="G3003" s="3"/>
    </row>
    <row r="3004">
      <c r="G3004" s="3"/>
    </row>
    <row r="3005">
      <c r="G3005" s="3"/>
    </row>
    <row r="3006">
      <c r="G3006" s="3"/>
    </row>
    <row r="3007">
      <c r="G3007" s="3"/>
    </row>
    <row r="3008">
      <c r="G3008" s="3"/>
    </row>
    <row r="3009">
      <c r="G3009" s="3"/>
    </row>
    <row r="3010">
      <c r="G3010" s="3"/>
    </row>
    <row r="3011">
      <c r="G3011" s="3"/>
    </row>
    <row r="3012">
      <c r="G3012" s="3"/>
    </row>
    <row r="3013">
      <c r="G3013" s="3"/>
    </row>
    <row r="3014">
      <c r="G3014" s="3"/>
    </row>
    <row r="3015">
      <c r="G3015" s="3"/>
    </row>
    <row r="3016">
      <c r="G3016" s="3"/>
    </row>
    <row r="3017">
      <c r="G3017" s="3"/>
    </row>
    <row r="3018">
      <c r="G3018" s="3"/>
    </row>
    <row r="3019">
      <c r="G3019" s="3"/>
    </row>
    <row r="3020">
      <c r="G3020" s="3"/>
    </row>
    <row r="3021">
      <c r="G3021" s="3"/>
    </row>
    <row r="3022">
      <c r="G3022" s="3"/>
    </row>
    <row r="3023">
      <c r="G3023" s="3"/>
    </row>
    <row r="3024">
      <c r="G3024" s="3"/>
    </row>
    <row r="3025">
      <c r="G3025" s="3"/>
    </row>
    <row r="3026">
      <c r="G3026" s="3"/>
    </row>
    <row r="3027">
      <c r="G3027" s="3"/>
    </row>
    <row r="3028">
      <c r="G3028" s="3"/>
    </row>
    <row r="3029">
      <c r="G3029" s="3"/>
    </row>
    <row r="3030">
      <c r="G3030" s="3"/>
    </row>
    <row r="3031">
      <c r="G3031" s="3"/>
    </row>
    <row r="3032">
      <c r="G3032" s="3"/>
    </row>
    <row r="3033">
      <c r="G3033" s="3"/>
    </row>
    <row r="3034">
      <c r="G3034" s="3"/>
    </row>
    <row r="3035">
      <c r="G3035" s="3"/>
    </row>
    <row r="3036">
      <c r="G3036" s="3"/>
    </row>
    <row r="3037">
      <c r="G3037" s="3"/>
    </row>
    <row r="3038">
      <c r="G3038" s="3"/>
    </row>
    <row r="3039">
      <c r="G3039" s="3"/>
    </row>
    <row r="3040">
      <c r="G3040" s="3"/>
    </row>
    <row r="3041">
      <c r="G3041" s="3"/>
    </row>
    <row r="3042">
      <c r="G3042" s="3"/>
    </row>
    <row r="3043">
      <c r="G3043" s="3"/>
    </row>
    <row r="3044">
      <c r="G3044" s="3"/>
    </row>
    <row r="3045">
      <c r="G3045" s="3"/>
    </row>
    <row r="3046">
      <c r="G3046" s="3"/>
    </row>
    <row r="3047">
      <c r="G3047" s="3"/>
    </row>
    <row r="3048">
      <c r="G3048" s="3"/>
    </row>
    <row r="3049">
      <c r="G3049" s="3"/>
    </row>
    <row r="3050">
      <c r="G3050" s="3"/>
    </row>
    <row r="3051">
      <c r="G3051" s="3"/>
    </row>
    <row r="3052">
      <c r="G3052" s="3"/>
    </row>
    <row r="3053">
      <c r="G3053" s="3"/>
    </row>
    <row r="3054">
      <c r="G3054" s="3"/>
    </row>
    <row r="3055">
      <c r="G3055" s="3"/>
    </row>
    <row r="3056">
      <c r="G3056" s="3"/>
    </row>
    <row r="3057">
      <c r="G3057" s="3"/>
    </row>
    <row r="3058">
      <c r="G3058" s="3"/>
    </row>
    <row r="3059">
      <c r="G3059" s="3"/>
    </row>
    <row r="3060">
      <c r="G3060" s="3"/>
    </row>
    <row r="3061">
      <c r="G3061" s="3"/>
    </row>
    <row r="3062">
      <c r="G3062" s="3"/>
    </row>
    <row r="3063">
      <c r="G3063" s="3"/>
    </row>
    <row r="3064">
      <c r="G3064" s="3"/>
    </row>
    <row r="3065">
      <c r="G3065" s="3"/>
    </row>
    <row r="3066">
      <c r="G3066" s="3"/>
    </row>
    <row r="3067">
      <c r="G3067" s="3"/>
    </row>
    <row r="3068">
      <c r="G3068" s="3"/>
    </row>
    <row r="3069">
      <c r="G3069" s="3"/>
    </row>
    <row r="3070">
      <c r="G3070" s="3"/>
    </row>
    <row r="3071">
      <c r="G3071" s="3"/>
    </row>
    <row r="3072">
      <c r="G3072" s="3"/>
    </row>
    <row r="3073">
      <c r="G3073" s="3"/>
    </row>
    <row r="3074">
      <c r="G3074" s="3"/>
    </row>
    <row r="3075">
      <c r="G3075" s="3"/>
    </row>
    <row r="3076">
      <c r="G3076" s="3"/>
    </row>
    <row r="3077">
      <c r="G3077" s="3"/>
    </row>
    <row r="3078">
      <c r="G3078" s="3"/>
    </row>
    <row r="3079">
      <c r="G3079" s="3"/>
    </row>
    <row r="3080">
      <c r="G3080" s="3"/>
    </row>
    <row r="3081">
      <c r="G3081" s="3"/>
    </row>
    <row r="3082">
      <c r="G3082" s="3"/>
    </row>
    <row r="3083">
      <c r="G3083" s="3"/>
    </row>
    <row r="3084">
      <c r="G3084" s="3"/>
    </row>
    <row r="3085">
      <c r="G3085" s="3"/>
    </row>
    <row r="3086">
      <c r="G3086" s="3"/>
    </row>
    <row r="3087">
      <c r="G3087" s="3"/>
    </row>
    <row r="3088">
      <c r="G3088" s="3"/>
    </row>
    <row r="3089">
      <c r="G3089" s="3"/>
    </row>
    <row r="3090">
      <c r="G3090" s="3"/>
    </row>
    <row r="3091">
      <c r="G3091" s="3"/>
    </row>
    <row r="3092">
      <c r="G3092" s="3"/>
    </row>
    <row r="3093">
      <c r="G3093" s="3"/>
    </row>
    <row r="3094">
      <c r="G3094" s="3"/>
    </row>
    <row r="3095">
      <c r="G3095" s="3"/>
    </row>
    <row r="3096">
      <c r="G3096" s="3"/>
    </row>
    <row r="3097">
      <c r="G3097" s="3"/>
    </row>
    <row r="3098">
      <c r="G3098" s="3"/>
    </row>
    <row r="3099">
      <c r="G3099" s="3"/>
    </row>
    <row r="3100">
      <c r="G3100" s="3"/>
    </row>
    <row r="3101">
      <c r="G3101" s="3"/>
    </row>
    <row r="3102">
      <c r="G3102" s="3"/>
    </row>
    <row r="3103">
      <c r="G3103" s="3"/>
    </row>
    <row r="3104">
      <c r="G3104" s="3"/>
    </row>
    <row r="3105">
      <c r="G3105" s="3"/>
    </row>
    <row r="3106">
      <c r="G3106" s="3"/>
    </row>
    <row r="3107">
      <c r="G3107" s="3"/>
    </row>
    <row r="3108">
      <c r="G3108" s="3"/>
    </row>
    <row r="3109">
      <c r="G3109" s="3"/>
    </row>
    <row r="3110">
      <c r="G3110" s="3"/>
    </row>
    <row r="3111">
      <c r="G3111" s="3"/>
    </row>
    <row r="3112">
      <c r="G3112" s="3"/>
    </row>
    <row r="3113">
      <c r="G3113" s="3"/>
    </row>
    <row r="3114">
      <c r="G3114" s="3"/>
    </row>
    <row r="3115">
      <c r="G3115" s="3"/>
    </row>
    <row r="3116">
      <c r="G3116" s="3"/>
    </row>
    <row r="3117">
      <c r="G3117" s="3"/>
    </row>
    <row r="3118">
      <c r="G3118" s="3"/>
    </row>
    <row r="3119">
      <c r="G3119" s="3"/>
    </row>
    <row r="3120">
      <c r="G3120" s="3"/>
    </row>
    <row r="3121">
      <c r="G3121" s="3"/>
    </row>
    <row r="3122">
      <c r="G3122" s="3"/>
    </row>
    <row r="3123">
      <c r="G3123" s="3"/>
    </row>
    <row r="3124">
      <c r="G3124" s="3"/>
    </row>
    <row r="3125">
      <c r="G3125" s="3"/>
    </row>
    <row r="3126">
      <c r="G3126" s="3"/>
    </row>
    <row r="3127">
      <c r="G3127" s="3"/>
    </row>
    <row r="3128">
      <c r="G3128" s="3"/>
    </row>
    <row r="3129">
      <c r="G3129" s="3"/>
    </row>
    <row r="3130">
      <c r="G3130" s="3"/>
    </row>
    <row r="3131">
      <c r="G3131" s="3"/>
    </row>
    <row r="3132">
      <c r="G3132" s="3"/>
    </row>
    <row r="3133">
      <c r="G3133" s="3"/>
    </row>
    <row r="3134">
      <c r="G3134" s="3"/>
    </row>
    <row r="3135">
      <c r="G3135" s="3"/>
    </row>
    <row r="3136">
      <c r="G3136" s="3"/>
    </row>
    <row r="3137">
      <c r="G3137" s="3"/>
    </row>
    <row r="3138">
      <c r="G3138" s="3"/>
    </row>
    <row r="3139">
      <c r="G3139" s="3"/>
    </row>
    <row r="3140">
      <c r="G3140" s="3"/>
    </row>
    <row r="3141">
      <c r="G3141" s="3"/>
    </row>
    <row r="3142">
      <c r="G3142" s="3"/>
    </row>
    <row r="3143">
      <c r="G3143" s="3"/>
    </row>
    <row r="3144">
      <c r="G3144" s="3"/>
    </row>
    <row r="3145">
      <c r="G3145" s="3"/>
    </row>
    <row r="3146">
      <c r="G3146" s="3"/>
    </row>
    <row r="3147">
      <c r="G3147" s="3"/>
    </row>
    <row r="3148">
      <c r="G3148" s="3"/>
    </row>
    <row r="3149">
      <c r="G3149" s="3"/>
    </row>
    <row r="3150">
      <c r="G3150" s="3"/>
    </row>
    <row r="3151">
      <c r="G3151" s="3"/>
    </row>
    <row r="3152">
      <c r="G3152" s="3"/>
    </row>
    <row r="3153">
      <c r="G3153" s="3"/>
    </row>
    <row r="3154">
      <c r="G3154" s="3"/>
    </row>
    <row r="3155">
      <c r="G3155" s="3"/>
    </row>
    <row r="3156">
      <c r="G3156" s="3"/>
    </row>
    <row r="3157">
      <c r="G3157" s="3"/>
    </row>
    <row r="3158">
      <c r="G3158" s="3"/>
    </row>
    <row r="3159">
      <c r="G3159" s="3"/>
    </row>
    <row r="3160">
      <c r="G3160" s="3"/>
    </row>
    <row r="3161">
      <c r="G3161" s="3"/>
    </row>
    <row r="3162">
      <c r="G3162" s="3"/>
    </row>
    <row r="3163">
      <c r="G3163" s="3"/>
    </row>
    <row r="3164">
      <c r="G3164" s="3"/>
    </row>
    <row r="3165">
      <c r="G3165" s="3"/>
    </row>
    <row r="3166">
      <c r="G3166" s="3"/>
    </row>
    <row r="3167">
      <c r="G3167" s="3"/>
    </row>
    <row r="3168">
      <c r="G3168" s="3"/>
    </row>
    <row r="3169">
      <c r="G3169" s="3"/>
    </row>
    <row r="3170">
      <c r="G3170" s="3"/>
    </row>
    <row r="3171">
      <c r="G3171" s="3"/>
    </row>
    <row r="3172">
      <c r="G3172" s="3"/>
    </row>
    <row r="3173">
      <c r="G3173" s="3"/>
    </row>
    <row r="3174">
      <c r="G3174" s="3"/>
    </row>
    <row r="3175">
      <c r="G3175" s="3"/>
    </row>
    <row r="3176">
      <c r="G3176" s="3"/>
    </row>
    <row r="3177">
      <c r="G3177" s="3"/>
    </row>
    <row r="3178">
      <c r="G3178" s="3"/>
    </row>
    <row r="3179">
      <c r="G3179" s="3"/>
    </row>
    <row r="3180">
      <c r="G3180" s="3"/>
    </row>
    <row r="3181">
      <c r="G3181" s="3"/>
    </row>
    <row r="3182">
      <c r="G3182" s="3"/>
    </row>
    <row r="3183">
      <c r="G3183" s="3"/>
    </row>
    <row r="3184">
      <c r="G3184" s="3"/>
    </row>
    <row r="3185">
      <c r="G3185" s="3"/>
    </row>
    <row r="3186">
      <c r="G3186" s="3"/>
    </row>
    <row r="3187">
      <c r="G3187" s="3"/>
    </row>
    <row r="3188">
      <c r="G3188" s="3"/>
    </row>
    <row r="3189">
      <c r="G3189" s="3"/>
    </row>
    <row r="3190">
      <c r="G3190" s="3"/>
    </row>
    <row r="3191">
      <c r="G3191" s="3"/>
    </row>
    <row r="3192">
      <c r="G3192" s="3"/>
    </row>
    <row r="3193">
      <c r="G3193" s="3"/>
    </row>
    <row r="3194">
      <c r="G3194" s="3"/>
    </row>
    <row r="3195">
      <c r="G3195" s="3"/>
    </row>
    <row r="3196">
      <c r="G3196" s="3"/>
    </row>
    <row r="3197">
      <c r="G3197" s="3"/>
    </row>
    <row r="3198">
      <c r="G3198" s="3"/>
    </row>
    <row r="3199">
      <c r="G3199" s="3"/>
    </row>
    <row r="3200">
      <c r="G3200" s="3"/>
    </row>
    <row r="3201">
      <c r="G3201" s="3"/>
    </row>
    <row r="3202">
      <c r="G3202" s="3"/>
    </row>
    <row r="3203">
      <c r="G3203" s="3"/>
    </row>
    <row r="3204">
      <c r="G3204" s="3"/>
    </row>
    <row r="3205">
      <c r="G3205" s="3"/>
    </row>
    <row r="3206">
      <c r="G3206" s="3"/>
    </row>
    <row r="3207">
      <c r="G3207" s="3"/>
    </row>
    <row r="3208">
      <c r="G3208" s="3"/>
    </row>
    <row r="3209">
      <c r="G3209" s="3"/>
    </row>
    <row r="3210">
      <c r="G3210" s="3"/>
    </row>
    <row r="3211">
      <c r="G3211" s="3"/>
    </row>
    <row r="3212">
      <c r="G3212" s="3"/>
    </row>
    <row r="3213">
      <c r="G3213" s="3"/>
    </row>
    <row r="3214">
      <c r="G3214" s="3"/>
    </row>
    <row r="3215">
      <c r="G3215" s="3"/>
    </row>
    <row r="3216">
      <c r="G3216" s="3"/>
    </row>
    <row r="3217">
      <c r="G3217" s="3"/>
    </row>
    <row r="3218">
      <c r="G3218" s="3"/>
    </row>
    <row r="3219">
      <c r="G3219" s="3"/>
    </row>
    <row r="3220">
      <c r="G3220" s="3"/>
    </row>
    <row r="3221">
      <c r="G3221" s="3"/>
    </row>
    <row r="3222">
      <c r="G3222" s="3"/>
    </row>
    <row r="3223">
      <c r="G3223" s="3"/>
    </row>
    <row r="3224">
      <c r="G3224" s="3"/>
    </row>
    <row r="3225">
      <c r="G3225" s="3"/>
    </row>
    <row r="3226">
      <c r="G3226" s="3"/>
    </row>
    <row r="3227">
      <c r="G3227" s="3"/>
    </row>
    <row r="3228">
      <c r="G3228" s="3"/>
    </row>
    <row r="3229">
      <c r="G3229" s="3"/>
    </row>
    <row r="3230">
      <c r="G3230" s="3"/>
    </row>
    <row r="3231">
      <c r="G3231" s="3"/>
    </row>
    <row r="3232">
      <c r="G3232" s="3"/>
    </row>
    <row r="3233">
      <c r="G3233" s="3"/>
    </row>
    <row r="3234">
      <c r="G3234" s="3"/>
    </row>
    <row r="3235">
      <c r="G3235" s="3"/>
    </row>
    <row r="3236">
      <c r="G3236" s="3"/>
    </row>
    <row r="3237">
      <c r="G3237" s="3"/>
    </row>
    <row r="3238">
      <c r="G3238" s="3"/>
    </row>
    <row r="3239">
      <c r="G3239" s="3"/>
    </row>
    <row r="3240">
      <c r="G3240" s="3"/>
    </row>
    <row r="3241">
      <c r="G3241" s="3"/>
    </row>
    <row r="3242">
      <c r="G3242" s="3"/>
    </row>
    <row r="3243">
      <c r="G3243" s="3"/>
    </row>
    <row r="3244">
      <c r="G3244" s="3"/>
    </row>
    <row r="3245">
      <c r="G3245" s="3"/>
    </row>
    <row r="3246">
      <c r="G3246" s="3"/>
    </row>
    <row r="3247">
      <c r="G3247" s="3"/>
    </row>
    <row r="3248">
      <c r="G3248" s="3"/>
    </row>
    <row r="3249">
      <c r="G3249" s="3"/>
    </row>
    <row r="3250">
      <c r="G3250" s="3"/>
    </row>
    <row r="3251">
      <c r="G3251" s="3"/>
    </row>
    <row r="3252">
      <c r="G3252" s="3"/>
    </row>
    <row r="3253">
      <c r="G3253" s="3"/>
    </row>
    <row r="3254">
      <c r="G3254" s="3"/>
    </row>
    <row r="3255">
      <c r="G3255" s="3"/>
    </row>
    <row r="3256">
      <c r="G3256" s="3"/>
    </row>
    <row r="3257">
      <c r="G3257" s="3"/>
    </row>
    <row r="3258">
      <c r="G3258" s="3"/>
    </row>
    <row r="3259">
      <c r="G3259" s="3"/>
    </row>
    <row r="3260">
      <c r="G3260" s="3"/>
    </row>
    <row r="3261">
      <c r="G3261" s="3"/>
    </row>
    <row r="3262">
      <c r="G3262" s="3"/>
    </row>
    <row r="3263">
      <c r="G3263" s="3"/>
    </row>
    <row r="3264">
      <c r="G3264" s="3"/>
    </row>
    <row r="3265">
      <c r="G3265" s="3"/>
    </row>
    <row r="3266">
      <c r="G3266" s="3"/>
    </row>
    <row r="3267">
      <c r="G3267" s="3"/>
    </row>
    <row r="3268">
      <c r="G3268" s="3"/>
    </row>
    <row r="3269">
      <c r="G3269" s="3"/>
    </row>
    <row r="3270">
      <c r="G3270" s="3"/>
    </row>
    <row r="3271">
      <c r="G3271" s="3"/>
    </row>
    <row r="3272">
      <c r="G3272" s="3"/>
    </row>
    <row r="3273">
      <c r="G3273" s="3"/>
    </row>
    <row r="3274">
      <c r="G3274" s="3"/>
    </row>
    <row r="3275">
      <c r="G3275" s="3"/>
    </row>
    <row r="3276">
      <c r="G3276" s="3"/>
    </row>
    <row r="3277">
      <c r="G3277" s="3"/>
    </row>
    <row r="3278">
      <c r="G3278" s="3"/>
    </row>
    <row r="3279">
      <c r="G3279" s="3"/>
    </row>
    <row r="3280">
      <c r="G3280" s="3"/>
    </row>
    <row r="3281">
      <c r="G3281" s="3"/>
    </row>
    <row r="3282">
      <c r="G3282" s="3"/>
    </row>
    <row r="3283">
      <c r="G3283" s="3"/>
    </row>
    <row r="3284">
      <c r="G3284" s="3"/>
    </row>
    <row r="3285">
      <c r="G3285" s="3"/>
    </row>
    <row r="3286">
      <c r="G3286" s="3"/>
    </row>
    <row r="3287">
      <c r="G3287" s="3"/>
    </row>
    <row r="3288">
      <c r="G3288" s="3"/>
    </row>
    <row r="3289">
      <c r="G3289" s="3"/>
    </row>
    <row r="3290">
      <c r="G3290" s="3"/>
    </row>
    <row r="3291">
      <c r="G3291" s="3"/>
    </row>
    <row r="3292">
      <c r="G3292" s="3"/>
    </row>
    <row r="3293">
      <c r="G3293" s="3"/>
    </row>
    <row r="3294">
      <c r="G3294" s="3"/>
    </row>
    <row r="3295">
      <c r="G3295" s="3"/>
    </row>
    <row r="3296">
      <c r="G3296" s="3"/>
    </row>
    <row r="3297">
      <c r="G3297" s="3"/>
    </row>
    <row r="3298">
      <c r="G3298" s="3"/>
    </row>
    <row r="3299">
      <c r="G3299" s="3"/>
    </row>
    <row r="3300">
      <c r="G3300" s="3"/>
    </row>
    <row r="3301">
      <c r="G3301" s="3"/>
    </row>
    <row r="3302">
      <c r="G3302" s="3"/>
    </row>
    <row r="3303">
      <c r="G3303" s="3"/>
    </row>
    <row r="3304">
      <c r="G3304" s="3"/>
    </row>
    <row r="3305">
      <c r="G3305" s="3"/>
    </row>
    <row r="3306">
      <c r="G3306" s="3"/>
    </row>
    <row r="3307">
      <c r="G3307" s="3"/>
    </row>
    <row r="3308">
      <c r="G3308" s="3"/>
    </row>
    <row r="3309">
      <c r="G3309" s="3"/>
    </row>
    <row r="3310">
      <c r="G3310" s="3"/>
    </row>
    <row r="3311">
      <c r="G3311" s="3"/>
    </row>
    <row r="3312">
      <c r="G3312" s="3"/>
    </row>
    <row r="3313">
      <c r="G3313" s="3"/>
    </row>
    <row r="3314">
      <c r="G3314" s="3"/>
    </row>
    <row r="3315">
      <c r="G3315" s="3"/>
    </row>
    <row r="3316">
      <c r="G3316" s="3"/>
    </row>
    <row r="3317">
      <c r="G3317" s="3"/>
    </row>
    <row r="3318">
      <c r="G3318" s="3"/>
    </row>
    <row r="3319">
      <c r="G3319" s="3"/>
    </row>
    <row r="3320">
      <c r="G3320" s="3"/>
    </row>
    <row r="3321">
      <c r="G3321" s="3"/>
    </row>
    <row r="3322">
      <c r="G3322" s="3"/>
    </row>
    <row r="3323">
      <c r="G3323" s="3"/>
    </row>
    <row r="3324">
      <c r="G3324" s="3"/>
    </row>
    <row r="3325">
      <c r="G3325" s="3"/>
    </row>
    <row r="3326">
      <c r="G3326" s="3"/>
    </row>
    <row r="3327">
      <c r="G3327" s="3"/>
    </row>
    <row r="3328">
      <c r="G3328" s="3"/>
    </row>
    <row r="3329">
      <c r="G3329" s="3"/>
    </row>
    <row r="3330">
      <c r="G3330" s="3"/>
    </row>
    <row r="3331">
      <c r="G3331" s="3"/>
    </row>
    <row r="3332">
      <c r="G3332" s="3"/>
    </row>
    <row r="3333">
      <c r="G3333" s="3"/>
    </row>
    <row r="3334">
      <c r="G3334" s="3"/>
    </row>
    <row r="3335">
      <c r="G3335" s="3"/>
    </row>
    <row r="3336">
      <c r="G3336" s="3"/>
    </row>
    <row r="3337">
      <c r="G3337" s="3"/>
    </row>
    <row r="3338">
      <c r="G3338" s="3"/>
    </row>
    <row r="3339">
      <c r="G3339" s="3"/>
    </row>
    <row r="3340">
      <c r="G3340" s="3"/>
    </row>
    <row r="3341">
      <c r="G3341" s="3"/>
    </row>
    <row r="3342">
      <c r="G3342" s="3"/>
    </row>
    <row r="3343">
      <c r="G3343" s="3"/>
    </row>
    <row r="3344">
      <c r="G3344" s="3"/>
    </row>
    <row r="3345">
      <c r="G3345" s="3"/>
    </row>
    <row r="3346">
      <c r="G3346" s="3"/>
    </row>
    <row r="3347">
      <c r="G3347" s="3"/>
    </row>
    <row r="3348">
      <c r="G3348" s="3"/>
    </row>
    <row r="3349">
      <c r="G3349" s="3"/>
    </row>
    <row r="3350">
      <c r="G3350" s="3"/>
    </row>
    <row r="3351">
      <c r="G3351" s="3"/>
    </row>
    <row r="3352">
      <c r="G3352" s="3"/>
    </row>
    <row r="3353">
      <c r="G3353" s="3"/>
    </row>
    <row r="3354">
      <c r="G3354" s="3"/>
    </row>
    <row r="3355">
      <c r="G3355" s="3"/>
    </row>
    <row r="3356">
      <c r="G3356" s="3"/>
    </row>
    <row r="3357">
      <c r="G3357" s="3"/>
    </row>
    <row r="3358">
      <c r="G3358" s="3"/>
    </row>
    <row r="3359">
      <c r="G3359" s="3"/>
    </row>
    <row r="3360">
      <c r="G3360" s="3"/>
    </row>
    <row r="3361">
      <c r="G3361" s="3"/>
    </row>
    <row r="3362">
      <c r="G3362" s="3"/>
    </row>
    <row r="3363">
      <c r="G3363" s="3"/>
    </row>
    <row r="3364">
      <c r="G3364" s="3"/>
    </row>
    <row r="3365">
      <c r="G3365" s="3"/>
    </row>
    <row r="3366">
      <c r="G3366" s="3"/>
    </row>
    <row r="3367">
      <c r="G3367" s="3"/>
    </row>
    <row r="3368">
      <c r="G3368" s="3"/>
    </row>
    <row r="3369">
      <c r="G3369" s="3"/>
    </row>
    <row r="3370">
      <c r="G3370" s="3"/>
    </row>
    <row r="3371">
      <c r="G3371" s="3"/>
    </row>
    <row r="3372">
      <c r="G3372" s="3"/>
    </row>
    <row r="3373">
      <c r="G3373" s="3"/>
    </row>
    <row r="3374">
      <c r="G3374" s="3"/>
    </row>
    <row r="3375">
      <c r="G3375" s="3"/>
    </row>
    <row r="3376">
      <c r="G3376" s="3"/>
    </row>
    <row r="3377">
      <c r="G3377" s="3"/>
    </row>
    <row r="3378">
      <c r="G3378" s="3"/>
    </row>
    <row r="3379">
      <c r="G3379" s="3"/>
    </row>
    <row r="3380">
      <c r="G3380" s="3"/>
    </row>
    <row r="3381">
      <c r="G3381" s="3"/>
    </row>
    <row r="3382">
      <c r="G3382" s="3"/>
    </row>
    <row r="3383">
      <c r="G3383" s="3"/>
    </row>
    <row r="3384">
      <c r="G3384" s="3"/>
    </row>
    <row r="3385">
      <c r="G3385" s="3"/>
    </row>
    <row r="3386">
      <c r="G3386" s="3"/>
    </row>
    <row r="3387">
      <c r="G3387" s="3"/>
    </row>
    <row r="3388">
      <c r="G3388" s="3"/>
    </row>
    <row r="3389">
      <c r="G3389" s="3"/>
    </row>
    <row r="3390">
      <c r="G3390" s="3"/>
    </row>
    <row r="3391">
      <c r="G3391" s="3"/>
    </row>
    <row r="3392">
      <c r="G3392" s="3"/>
    </row>
    <row r="3393">
      <c r="G3393" s="3"/>
    </row>
    <row r="3394">
      <c r="G3394" s="3"/>
    </row>
    <row r="3395">
      <c r="G3395" s="3"/>
    </row>
    <row r="3396">
      <c r="G3396" s="3"/>
    </row>
    <row r="3397">
      <c r="G3397" s="3"/>
    </row>
    <row r="3398">
      <c r="G3398" s="3"/>
    </row>
    <row r="3399">
      <c r="G3399" s="3"/>
    </row>
    <row r="3400">
      <c r="G3400" s="3"/>
    </row>
    <row r="3401">
      <c r="G3401" s="3"/>
    </row>
    <row r="3402">
      <c r="G3402" s="3"/>
    </row>
    <row r="3403">
      <c r="G3403" s="3"/>
    </row>
    <row r="3404">
      <c r="G3404" s="3"/>
    </row>
    <row r="3405">
      <c r="G3405" s="3"/>
    </row>
    <row r="3406">
      <c r="G3406" s="3"/>
    </row>
    <row r="3407">
      <c r="G3407" s="3"/>
    </row>
    <row r="3408">
      <c r="G3408" s="3"/>
    </row>
    <row r="3409">
      <c r="G3409" s="3"/>
    </row>
    <row r="3410">
      <c r="G3410" s="3"/>
    </row>
    <row r="3411">
      <c r="G3411" s="3"/>
    </row>
    <row r="3412">
      <c r="G3412" s="3"/>
    </row>
    <row r="3413">
      <c r="G3413" s="3"/>
    </row>
    <row r="3414">
      <c r="G3414" s="3"/>
    </row>
    <row r="3415">
      <c r="G3415" s="3"/>
    </row>
    <row r="3416">
      <c r="G3416" s="3"/>
    </row>
    <row r="3417">
      <c r="G3417" s="3"/>
    </row>
    <row r="3418">
      <c r="G3418" s="3"/>
    </row>
    <row r="3419">
      <c r="G3419" s="3"/>
    </row>
    <row r="3420">
      <c r="G3420" s="3"/>
    </row>
    <row r="3421">
      <c r="G3421" s="3"/>
    </row>
    <row r="3422">
      <c r="G3422" s="3"/>
    </row>
    <row r="3423">
      <c r="G3423" s="3"/>
    </row>
    <row r="3424">
      <c r="G3424" s="3"/>
    </row>
    <row r="3425">
      <c r="G3425" s="3"/>
    </row>
    <row r="3426">
      <c r="G3426" s="3"/>
    </row>
    <row r="3427">
      <c r="G3427" s="3"/>
    </row>
    <row r="3428">
      <c r="G3428" s="3"/>
    </row>
    <row r="3429">
      <c r="G3429" s="3"/>
    </row>
    <row r="3430">
      <c r="G3430" s="3"/>
    </row>
    <row r="3431">
      <c r="G3431" s="3"/>
    </row>
    <row r="3432">
      <c r="G3432" s="3"/>
    </row>
    <row r="3433">
      <c r="G3433" s="3"/>
    </row>
    <row r="3434">
      <c r="G3434" s="3"/>
    </row>
    <row r="3435">
      <c r="G3435" s="3"/>
    </row>
    <row r="3436">
      <c r="G3436" s="3"/>
    </row>
    <row r="3437">
      <c r="G3437" s="3"/>
    </row>
    <row r="3438">
      <c r="G3438" s="3"/>
    </row>
    <row r="3439">
      <c r="G3439" s="3"/>
    </row>
    <row r="3440">
      <c r="G3440" s="3"/>
    </row>
    <row r="3441">
      <c r="G3441" s="3"/>
    </row>
    <row r="3442">
      <c r="G3442" s="3"/>
    </row>
    <row r="3443">
      <c r="G3443" s="3"/>
    </row>
    <row r="3444">
      <c r="G3444" s="3"/>
    </row>
    <row r="3445">
      <c r="G3445" s="3"/>
    </row>
    <row r="3446">
      <c r="G3446" s="3"/>
    </row>
    <row r="3447">
      <c r="G3447" s="3"/>
    </row>
    <row r="3448">
      <c r="G3448" s="3"/>
    </row>
    <row r="3449">
      <c r="G3449" s="3"/>
    </row>
    <row r="3450">
      <c r="G3450" s="3"/>
    </row>
    <row r="3451">
      <c r="G3451" s="3"/>
    </row>
    <row r="3452">
      <c r="G3452" s="3"/>
    </row>
    <row r="3453">
      <c r="G3453" s="3"/>
    </row>
    <row r="3454">
      <c r="G3454" s="3"/>
    </row>
    <row r="3455">
      <c r="G3455" s="3"/>
    </row>
    <row r="3456">
      <c r="G3456" s="3"/>
    </row>
    <row r="3457">
      <c r="G3457" s="3"/>
    </row>
    <row r="3458">
      <c r="G3458" s="3"/>
    </row>
    <row r="3459">
      <c r="G3459" s="3"/>
    </row>
    <row r="3460">
      <c r="G3460" s="3"/>
    </row>
    <row r="3461">
      <c r="G3461" s="3"/>
    </row>
    <row r="3462">
      <c r="G3462" s="3"/>
    </row>
    <row r="3463">
      <c r="G3463" s="3"/>
    </row>
    <row r="3464">
      <c r="G3464" s="3"/>
    </row>
    <row r="3465">
      <c r="G3465" s="3"/>
    </row>
    <row r="3466">
      <c r="G3466" s="3"/>
    </row>
    <row r="3467">
      <c r="G3467" s="3"/>
    </row>
    <row r="3468">
      <c r="G3468" s="3"/>
    </row>
    <row r="3469">
      <c r="G3469" s="3"/>
    </row>
    <row r="3470">
      <c r="G3470" s="3"/>
    </row>
    <row r="3471">
      <c r="G3471" s="3"/>
    </row>
    <row r="3472">
      <c r="G3472" s="3"/>
    </row>
    <row r="3473">
      <c r="G3473" s="3"/>
    </row>
    <row r="3474">
      <c r="G3474" s="3"/>
    </row>
    <row r="3475">
      <c r="G3475" s="3"/>
    </row>
    <row r="3476">
      <c r="G3476" s="3"/>
    </row>
    <row r="3477">
      <c r="G3477" s="3"/>
    </row>
    <row r="3478">
      <c r="G3478" s="3"/>
    </row>
    <row r="3479">
      <c r="G3479" s="3"/>
    </row>
    <row r="3480">
      <c r="G3480" s="3"/>
    </row>
    <row r="3481">
      <c r="G3481" s="3"/>
    </row>
    <row r="3482">
      <c r="G3482" s="3"/>
    </row>
    <row r="3483">
      <c r="G3483" s="3"/>
    </row>
    <row r="3484">
      <c r="G3484" s="3"/>
    </row>
    <row r="3485">
      <c r="G3485" s="3"/>
    </row>
    <row r="3486">
      <c r="G3486" s="3"/>
    </row>
    <row r="3487">
      <c r="G3487" s="3"/>
    </row>
    <row r="3488">
      <c r="G3488" s="3"/>
    </row>
    <row r="3489">
      <c r="G3489" s="3"/>
    </row>
    <row r="3490">
      <c r="G3490" s="3"/>
    </row>
    <row r="3491">
      <c r="G3491" s="3"/>
    </row>
    <row r="3492">
      <c r="G3492" s="3"/>
    </row>
    <row r="3493">
      <c r="G3493" s="3"/>
    </row>
    <row r="3494">
      <c r="G3494" s="3"/>
    </row>
    <row r="3495">
      <c r="G3495" s="3"/>
    </row>
    <row r="3496">
      <c r="G3496" s="3"/>
    </row>
    <row r="3497">
      <c r="G3497" s="3"/>
    </row>
    <row r="3498">
      <c r="G3498" s="3"/>
    </row>
    <row r="3499">
      <c r="G3499" s="3"/>
    </row>
    <row r="3500">
      <c r="G3500" s="3"/>
    </row>
    <row r="3501">
      <c r="G3501" s="3"/>
    </row>
    <row r="3502">
      <c r="G3502" s="3"/>
    </row>
    <row r="3503">
      <c r="G3503" s="3"/>
    </row>
    <row r="3504">
      <c r="G3504" s="3"/>
    </row>
    <row r="3505">
      <c r="G3505" s="3"/>
    </row>
    <row r="3506">
      <c r="G3506" s="3"/>
    </row>
    <row r="3507">
      <c r="G3507" s="3"/>
    </row>
    <row r="3508">
      <c r="G3508" s="3"/>
    </row>
    <row r="3509">
      <c r="G3509" s="3"/>
    </row>
    <row r="3510">
      <c r="G3510" s="3"/>
    </row>
    <row r="3511">
      <c r="G3511" s="3"/>
    </row>
    <row r="3512">
      <c r="G3512" s="3"/>
    </row>
    <row r="3513">
      <c r="G3513" s="3"/>
    </row>
    <row r="3514">
      <c r="G3514" s="3"/>
    </row>
    <row r="3515">
      <c r="G3515" s="3"/>
    </row>
    <row r="3516">
      <c r="G3516" s="3"/>
    </row>
    <row r="3517">
      <c r="G3517" s="3"/>
    </row>
    <row r="3518">
      <c r="G3518" s="3"/>
    </row>
    <row r="3519">
      <c r="G3519" s="3"/>
    </row>
    <row r="3520">
      <c r="G3520" s="3"/>
    </row>
    <row r="3521">
      <c r="G3521" s="3"/>
    </row>
    <row r="3522">
      <c r="G3522" s="3"/>
    </row>
    <row r="3523">
      <c r="G3523" s="3"/>
    </row>
    <row r="3524">
      <c r="G3524" s="3"/>
    </row>
    <row r="3525">
      <c r="G3525" s="3"/>
    </row>
    <row r="3526">
      <c r="G3526" s="3"/>
    </row>
    <row r="3527">
      <c r="G3527" s="3"/>
    </row>
    <row r="3528">
      <c r="G3528" s="3"/>
    </row>
    <row r="3529">
      <c r="G3529" s="3"/>
    </row>
    <row r="3530">
      <c r="G3530" s="3"/>
    </row>
    <row r="3531">
      <c r="G3531" s="3"/>
    </row>
    <row r="3532">
      <c r="G3532" s="3"/>
    </row>
    <row r="3533">
      <c r="G3533" s="3"/>
    </row>
    <row r="3534">
      <c r="G3534" s="3"/>
    </row>
    <row r="3535">
      <c r="G3535" s="3"/>
    </row>
    <row r="3536">
      <c r="G3536" s="3"/>
    </row>
    <row r="3537">
      <c r="G3537" s="3"/>
    </row>
    <row r="3538">
      <c r="G3538" s="3"/>
    </row>
    <row r="3539">
      <c r="G3539" s="3"/>
    </row>
    <row r="3540">
      <c r="G3540" s="3"/>
    </row>
    <row r="3541">
      <c r="G3541" s="3"/>
    </row>
    <row r="3542">
      <c r="G3542" s="3"/>
    </row>
    <row r="3543">
      <c r="G3543" s="3"/>
    </row>
    <row r="3544">
      <c r="G3544" s="3"/>
    </row>
    <row r="3545">
      <c r="G3545" s="3"/>
    </row>
    <row r="3546">
      <c r="G3546" s="3"/>
    </row>
    <row r="3547">
      <c r="G3547" s="3"/>
    </row>
    <row r="3548">
      <c r="G3548" s="3"/>
    </row>
    <row r="3549">
      <c r="G3549" s="3"/>
    </row>
    <row r="3550">
      <c r="G3550" s="3"/>
    </row>
    <row r="3551">
      <c r="G3551" s="3"/>
    </row>
    <row r="3552">
      <c r="G3552" s="3"/>
    </row>
    <row r="3553">
      <c r="G3553" s="3"/>
    </row>
    <row r="3554">
      <c r="G3554" s="3"/>
    </row>
    <row r="3555">
      <c r="G3555" s="3"/>
    </row>
    <row r="3556">
      <c r="G3556" s="3"/>
    </row>
    <row r="3557">
      <c r="G3557" s="3"/>
    </row>
    <row r="3558">
      <c r="G3558" s="3"/>
    </row>
    <row r="3559">
      <c r="G3559" s="3"/>
    </row>
    <row r="3560">
      <c r="G3560" s="3"/>
    </row>
    <row r="3561">
      <c r="G3561" s="3"/>
    </row>
    <row r="3562">
      <c r="G3562" s="3"/>
    </row>
    <row r="3563">
      <c r="G3563" s="3"/>
    </row>
    <row r="3564">
      <c r="G3564" s="3"/>
    </row>
    <row r="3565">
      <c r="G3565" s="3"/>
    </row>
    <row r="3566">
      <c r="G3566" s="3"/>
    </row>
    <row r="3567">
      <c r="G3567" s="3"/>
    </row>
    <row r="3568">
      <c r="G3568" s="3"/>
    </row>
    <row r="3569">
      <c r="G3569" s="3"/>
    </row>
    <row r="3570">
      <c r="G3570" s="3"/>
    </row>
    <row r="3571">
      <c r="G3571" s="3"/>
    </row>
    <row r="3572">
      <c r="G3572" s="3"/>
    </row>
    <row r="3573">
      <c r="G3573" s="3"/>
    </row>
    <row r="3574">
      <c r="G3574" s="3"/>
    </row>
    <row r="3575">
      <c r="G3575" s="3"/>
    </row>
    <row r="3576">
      <c r="G3576" s="3"/>
    </row>
    <row r="3577">
      <c r="G3577" s="3"/>
    </row>
    <row r="3578">
      <c r="G3578" s="3"/>
    </row>
    <row r="3579">
      <c r="G3579" s="3"/>
    </row>
    <row r="3580">
      <c r="G3580" s="3"/>
    </row>
    <row r="3581">
      <c r="G3581" s="3"/>
    </row>
    <row r="3582">
      <c r="G3582" s="3"/>
    </row>
    <row r="3583">
      <c r="G3583" s="3"/>
    </row>
    <row r="3584">
      <c r="G3584" s="3"/>
    </row>
    <row r="3585">
      <c r="G3585" s="3"/>
    </row>
    <row r="3586">
      <c r="G3586" s="3"/>
    </row>
    <row r="3587">
      <c r="G3587" s="3"/>
    </row>
    <row r="3588">
      <c r="G3588" s="3"/>
    </row>
    <row r="3589">
      <c r="G3589" s="3"/>
    </row>
    <row r="3590">
      <c r="G3590" s="3"/>
    </row>
    <row r="3591">
      <c r="G3591" s="3"/>
    </row>
    <row r="3592">
      <c r="G3592" s="3"/>
    </row>
    <row r="3593">
      <c r="G3593" s="3"/>
    </row>
    <row r="3594">
      <c r="G3594" s="3"/>
    </row>
    <row r="3595">
      <c r="G3595" s="3"/>
    </row>
    <row r="3596">
      <c r="G3596" s="3"/>
    </row>
    <row r="3597">
      <c r="G3597" s="3"/>
    </row>
    <row r="3598">
      <c r="G3598" s="3"/>
    </row>
    <row r="3599">
      <c r="G3599" s="3"/>
    </row>
    <row r="3600">
      <c r="G3600" s="3"/>
    </row>
    <row r="3601">
      <c r="G3601" s="3"/>
    </row>
    <row r="3602">
      <c r="G3602" s="3"/>
    </row>
    <row r="3603">
      <c r="G3603" s="3"/>
    </row>
    <row r="3604">
      <c r="G3604" s="3"/>
    </row>
    <row r="3605">
      <c r="G3605" s="3"/>
    </row>
    <row r="3606">
      <c r="G3606" s="3"/>
    </row>
    <row r="3607">
      <c r="G3607" s="3"/>
    </row>
    <row r="3608">
      <c r="G3608" s="3"/>
    </row>
    <row r="3609">
      <c r="G3609" s="3"/>
    </row>
    <row r="3610">
      <c r="G3610" s="3"/>
    </row>
    <row r="3611">
      <c r="G3611" s="3"/>
    </row>
    <row r="3612">
      <c r="G3612" s="3"/>
    </row>
    <row r="3613">
      <c r="G3613" s="3"/>
    </row>
    <row r="3614">
      <c r="G3614" s="3"/>
    </row>
    <row r="3615">
      <c r="G3615" s="3"/>
    </row>
    <row r="3616">
      <c r="G3616" s="3"/>
    </row>
    <row r="3617">
      <c r="G3617" s="3"/>
    </row>
    <row r="3618">
      <c r="G3618" s="3"/>
    </row>
    <row r="3619">
      <c r="G3619" s="3"/>
    </row>
    <row r="3620">
      <c r="G3620" s="3"/>
    </row>
    <row r="3621">
      <c r="G3621" s="3"/>
    </row>
    <row r="3622">
      <c r="G3622" s="3"/>
    </row>
    <row r="3623">
      <c r="G3623" s="3"/>
    </row>
    <row r="3624">
      <c r="G3624" s="3"/>
    </row>
    <row r="3625">
      <c r="G3625" s="3"/>
    </row>
    <row r="3626">
      <c r="G3626" s="3"/>
    </row>
    <row r="3627">
      <c r="G3627" s="3"/>
    </row>
    <row r="3628">
      <c r="G3628" s="3"/>
    </row>
    <row r="3629">
      <c r="G3629" s="3"/>
    </row>
    <row r="3630">
      <c r="G3630" s="3"/>
    </row>
    <row r="3631">
      <c r="G3631" s="3"/>
    </row>
    <row r="3632">
      <c r="G3632" s="3"/>
    </row>
    <row r="3633">
      <c r="G3633" s="3"/>
    </row>
    <row r="3634">
      <c r="G3634" s="3"/>
    </row>
    <row r="3635">
      <c r="G3635" s="3"/>
    </row>
    <row r="3636">
      <c r="G3636" s="3"/>
    </row>
    <row r="3637">
      <c r="G3637" s="3"/>
    </row>
    <row r="3638">
      <c r="G3638" s="3"/>
    </row>
    <row r="3639">
      <c r="G3639" s="3"/>
    </row>
    <row r="3640">
      <c r="G3640" s="3"/>
    </row>
    <row r="3641">
      <c r="G3641" s="3"/>
    </row>
    <row r="3642">
      <c r="G3642" s="3"/>
    </row>
    <row r="3643">
      <c r="G3643" s="3"/>
    </row>
    <row r="3644">
      <c r="G3644" s="3"/>
    </row>
    <row r="3645">
      <c r="G3645" s="3"/>
    </row>
    <row r="3646">
      <c r="G3646" s="3"/>
    </row>
    <row r="3647">
      <c r="G3647" s="3"/>
    </row>
    <row r="3648">
      <c r="G3648" s="3"/>
    </row>
    <row r="3649">
      <c r="G3649" s="3"/>
    </row>
    <row r="3650">
      <c r="G3650" s="3"/>
    </row>
    <row r="3651">
      <c r="G3651" s="3"/>
    </row>
    <row r="3652">
      <c r="G3652" s="3"/>
    </row>
    <row r="3653">
      <c r="G3653" s="3"/>
    </row>
    <row r="3654">
      <c r="G3654" s="3"/>
    </row>
    <row r="3655">
      <c r="G3655" s="3"/>
    </row>
    <row r="3656">
      <c r="G3656" s="3"/>
    </row>
    <row r="3657">
      <c r="G3657" s="3"/>
    </row>
    <row r="3658">
      <c r="G3658" s="3"/>
    </row>
    <row r="3659">
      <c r="G3659" s="3"/>
    </row>
    <row r="3660">
      <c r="G3660" s="3"/>
    </row>
    <row r="3661">
      <c r="G3661" s="3"/>
    </row>
    <row r="3662">
      <c r="G3662" s="3"/>
    </row>
    <row r="3663">
      <c r="G3663" s="3"/>
    </row>
    <row r="3664">
      <c r="G3664" s="3"/>
    </row>
    <row r="3665">
      <c r="G3665" s="3"/>
    </row>
    <row r="3666">
      <c r="G3666" s="3"/>
    </row>
    <row r="3667">
      <c r="G3667" s="3"/>
    </row>
    <row r="3668">
      <c r="G3668" s="3"/>
    </row>
    <row r="3669">
      <c r="G3669" s="3"/>
    </row>
    <row r="3670">
      <c r="G3670" s="3"/>
    </row>
    <row r="3671">
      <c r="G3671" s="3"/>
    </row>
    <row r="3672">
      <c r="G3672" s="3"/>
    </row>
    <row r="3673">
      <c r="G3673" s="3"/>
    </row>
    <row r="3674">
      <c r="G3674" s="3"/>
    </row>
    <row r="3675">
      <c r="G3675" s="3"/>
    </row>
    <row r="3676">
      <c r="G3676" s="3"/>
    </row>
    <row r="3677">
      <c r="G3677" s="3"/>
    </row>
    <row r="3678">
      <c r="G3678" s="3"/>
    </row>
    <row r="3679">
      <c r="G3679" s="3"/>
    </row>
    <row r="3680">
      <c r="G3680" s="3"/>
    </row>
    <row r="3681">
      <c r="G3681" s="3"/>
    </row>
    <row r="3682">
      <c r="G3682" s="3"/>
    </row>
    <row r="3683">
      <c r="G3683" s="3"/>
    </row>
    <row r="3684">
      <c r="G3684" s="3"/>
    </row>
    <row r="3685">
      <c r="G3685" s="3"/>
    </row>
    <row r="3686">
      <c r="G3686" s="3"/>
    </row>
    <row r="3687">
      <c r="G3687" s="3"/>
    </row>
    <row r="3688">
      <c r="G3688" s="3"/>
    </row>
    <row r="3689">
      <c r="G3689" s="3"/>
    </row>
    <row r="3690">
      <c r="G3690" s="3"/>
    </row>
    <row r="3691">
      <c r="G3691" s="3"/>
    </row>
    <row r="3692">
      <c r="G3692" s="3"/>
    </row>
    <row r="3693">
      <c r="G3693" s="3"/>
    </row>
    <row r="3694">
      <c r="G3694" s="3"/>
    </row>
    <row r="3695">
      <c r="G3695" s="3"/>
    </row>
    <row r="3696">
      <c r="G3696" s="3"/>
    </row>
    <row r="3697">
      <c r="G3697" s="3"/>
    </row>
    <row r="3698">
      <c r="G3698" s="3"/>
    </row>
    <row r="3699">
      <c r="G3699" s="3"/>
    </row>
    <row r="3700">
      <c r="G3700" s="3"/>
    </row>
    <row r="3701">
      <c r="G3701" s="3"/>
    </row>
    <row r="3702">
      <c r="G3702" s="3"/>
    </row>
    <row r="3703">
      <c r="G3703" s="3"/>
    </row>
    <row r="3704">
      <c r="G3704" s="3"/>
    </row>
    <row r="3705">
      <c r="G3705" s="3"/>
    </row>
    <row r="3706">
      <c r="G3706" s="3"/>
    </row>
    <row r="3707">
      <c r="G3707" s="3"/>
    </row>
    <row r="3708">
      <c r="G3708" s="3"/>
    </row>
    <row r="3709">
      <c r="G3709" s="3"/>
    </row>
    <row r="3710">
      <c r="G3710" s="3"/>
    </row>
    <row r="3711">
      <c r="G3711" s="3"/>
    </row>
    <row r="3712">
      <c r="G3712" s="3"/>
    </row>
    <row r="3713">
      <c r="G3713" s="3"/>
    </row>
    <row r="3714">
      <c r="G3714" s="3"/>
    </row>
    <row r="3715">
      <c r="G3715" s="3"/>
    </row>
    <row r="3716">
      <c r="G3716" s="3"/>
    </row>
    <row r="3717">
      <c r="G3717" s="3"/>
    </row>
    <row r="3718">
      <c r="G3718" s="3"/>
    </row>
    <row r="3719">
      <c r="G3719" s="3"/>
    </row>
    <row r="3720">
      <c r="G3720" s="3"/>
    </row>
    <row r="3721">
      <c r="G3721" s="3"/>
    </row>
    <row r="3722">
      <c r="G3722" s="3"/>
    </row>
    <row r="3723">
      <c r="G3723" s="3"/>
    </row>
    <row r="3724">
      <c r="G3724" s="3"/>
    </row>
    <row r="3725">
      <c r="G3725" s="3"/>
    </row>
    <row r="3726">
      <c r="G3726" s="3"/>
    </row>
    <row r="3727">
      <c r="G3727" s="3"/>
    </row>
    <row r="3728">
      <c r="G3728" s="3"/>
    </row>
    <row r="3729">
      <c r="G3729" s="3"/>
    </row>
    <row r="3730">
      <c r="G3730" s="3"/>
    </row>
    <row r="3731">
      <c r="G3731" s="3"/>
    </row>
    <row r="3732">
      <c r="G3732" s="3"/>
    </row>
    <row r="3733">
      <c r="G3733" s="3"/>
    </row>
    <row r="3734">
      <c r="G3734" s="3"/>
    </row>
    <row r="3735">
      <c r="G3735" s="3"/>
    </row>
    <row r="3736">
      <c r="G3736" s="3"/>
    </row>
    <row r="3737">
      <c r="G3737" s="3"/>
    </row>
    <row r="3738">
      <c r="G3738" s="3"/>
    </row>
    <row r="3739">
      <c r="G3739" s="3"/>
    </row>
    <row r="3740">
      <c r="G3740" s="3"/>
    </row>
    <row r="3741">
      <c r="G3741" s="3"/>
    </row>
    <row r="3742">
      <c r="G3742" s="3"/>
    </row>
    <row r="3743">
      <c r="G3743" s="3"/>
    </row>
    <row r="3744">
      <c r="G3744" s="3"/>
    </row>
    <row r="3745">
      <c r="G3745" s="3"/>
    </row>
    <row r="3746">
      <c r="G3746" s="3"/>
    </row>
    <row r="3747">
      <c r="G3747" s="3"/>
    </row>
    <row r="3748">
      <c r="G3748" s="3"/>
    </row>
    <row r="3749">
      <c r="G3749" s="3"/>
    </row>
    <row r="3750">
      <c r="G3750" s="3"/>
    </row>
    <row r="3751">
      <c r="G3751" s="3"/>
    </row>
    <row r="3752">
      <c r="G3752" s="3"/>
    </row>
    <row r="3753">
      <c r="G3753" s="3"/>
    </row>
    <row r="3754">
      <c r="G3754" s="3"/>
    </row>
    <row r="3755">
      <c r="G3755" s="3"/>
    </row>
    <row r="3756">
      <c r="G3756" s="3"/>
    </row>
    <row r="3757">
      <c r="G3757" s="3"/>
    </row>
    <row r="3758">
      <c r="G3758" s="3"/>
    </row>
    <row r="3759">
      <c r="G3759" s="3"/>
    </row>
    <row r="3760">
      <c r="G3760" s="3"/>
    </row>
    <row r="3761">
      <c r="G3761" s="3"/>
    </row>
    <row r="3762">
      <c r="G3762" s="3"/>
    </row>
    <row r="3763">
      <c r="G3763" s="3"/>
    </row>
    <row r="3764">
      <c r="G3764" s="3"/>
    </row>
    <row r="3765">
      <c r="G3765" s="3"/>
    </row>
    <row r="3766">
      <c r="G3766" s="3"/>
    </row>
    <row r="3767">
      <c r="G3767" s="3"/>
    </row>
    <row r="3768">
      <c r="G3768" s="3"/>
    </row>
    <row r="3769">
      <c r="G3769" s="3"/>
    </row>
    <row r="3770">
      <c r="G3770" s="3"/>
    </row>
    <row r="3771">
      <c r="G3771" s="3"/>
    </row>
    <row r="3772">
      <c r="G3772" s="3"/>
    </row>
    <row r="3773">
      <c r="G3773" s="3"/>
    </row>
    <row r="3774">
      <c r="G3774" s="3"/>
    </row>
    <row r="3775">
      <c r="G3775" s="3"/>
    </row>
    <row r="3776">
      <c r="G3776" s="3"/>
    </row>
    <row r="3777">
      <c r="G3777" s="3"/>
    </row>
    <row r="3778">
      <c r="G3778" s="3"/>
    </row>
    <row r="3779">
      <c r="G3779" s="3"/>
    </row>
    <row r="3780">
      <c r="G3780" s="3"/>
    </row>
    <row r="3781">
      <c r="G3781" s="3"/>
    </row>
    <row r="3782">
      <c r="G3782" s="3"/>
    </row>
    <row r="3783">
      <c r="G3783" s="3"/>
    </row>
    <row r="3784">
      <c r="G3784" s="3"/>
    </row>
    <row r="3785">
      <c r="G3785" s="3"/>
    </row>
    <row r="3786">
      <c r="G3786" s="3"/>
    </row>
    <row r="3787">
      <c r="G3787" s="3"/>
    </row>
    <row r="3788">
      <c r="G3788" s="3"/>
    </row>
    <row r="3789">
      <c r="G3789" s="3"/>
    </row>
    <row r="3790">
      <c r="G3790" s="3"/>
    </row>
    <row r="3791">
      <c r="G3791" s="3"/>
    </row>
    <row r="3792">
      <c r="G3792" s="3"/>
    </row>
    <row r="3793">
      <c r="G3793" s="3"/>
    </row>
    <row r="3794">
      <c r="G3794" s="3"/>
    </row>
    <row r="3795">
      <c r="G3795" s="3"/>
    </row>
    <row r="3796">
      <c r="G3796" s="3"/>
    </row>
    <row r="3797">
      <c r="G3797" s="3"/>
    </row>
    <row r="3798">
      <c r="G3798" s="3"/>
    </row>
    <row r="3799">
      <c r="G3799" s="3"/>
    </row>
    <row r="3800">
      <c r="G3800" s="3"/>
    </row>
    <row r="3801">
      <c r="G3801" s="3"/>
    </row>
    <row r="3802">
      <c r="G3802" s="3"/>
    </row>
    <row r="3803">
      <c r="G3803" s="3"/>
    </row>
    <row r="3804">
      <c r="G3804" s="3"/>
    </row>
    <row r="3805">
      <c r="G3805" s="3"/>
    </row>
    <row r="3806">
      <c r="G3806" s="3"/>
    </row>
    <row r="3807">
      <c r="G3807" s="3"/>
    </row>
    <row r="3808">
      <c r="G3808" s="3"/>
    </row>
    <row r="3809">
      <c r="G3809" s="3"/>
    </row>
    <row r="3810">
      <c r="G3810" s="3"/>
    </row>
    <row r="3811">
      <c r="G3811" s="3"/>
    </row>
    <row r="3812">
      <c r="G3812" s="3"/>
    </row>
    <row r="3813">
      <c r="G3813" s="3"/>
    </row>
    <row r="3814">
      <c r="G3814" s="3"/>
    </row>
    <row r="3815">
      <c r="G3815" s="3"/>
    </row>
    <row r="3816">
      <c r="G3816" s="3"/>
    </row>
    <row r="3817">
      <c r="G3817" s="3"/>
    </row>
    <row r="3818">
      <c r="G3818" s="3"/>
    </row>
    <row r="3819">
      <c r="G3819" s="3"/>
    </row>
    <row r="3820">
      <c r="G3820" s="3"/>
    </row>
    <row r="3821">
      <c r="G3821" s="3"/>
    </row>
    <row r="3822">
      <c r="G3822" s="3"/>
    </row>
    <row r="3823">
      <c r="G3823" s="3"/>
    </row>
    <row r="3824">
      <c r="G3824" s="3"/>
    </row>
    <row r="3825">
      <c r="G3825" s="3"/>
    </row>
    <row r="3826">
      <c r="G3826" s="3"/>
    </row>
    <row r="3827">
      <c r="G3827" s="3"/>
    </row>
    <row r="3828">
      <c r="G3828" s="3"/>
    </row>
    <row r="3829">
      <c r="G3829" s="3"/>
    </row>
    <row r="3830">
      <c r="G3830" s="3"/>
    </row>
    <row r="3831">
      <c r="G3831" s="3"/>
    </row>
    <row r="3832">
      <c r="G3832" s="3"/>
    </row>
    <row r="3833">
      <c r="G3833" s="3"/>
    </row>
    <row r="3834">
      <c r="G3834" s="3"/>
    </row>
    <row r="3835">
      <c r="G3835" s="3"/>
    </row>
    <row r="3836">
      <c r="G3836" s="3"/>
    </row>
    <row r="3837">
      <c r="G3837" s="3"/>
    </row>
    <row r="3838">
      <c r="G3838" s="3"/>
    </row>
    <row r="3839">
      <c r="G3839" s="3"/>
    </row>
    <row r="3840">
      <c r="G3840" s="3"/>
    </row>
    <row r="3841">
      <c r="G3841" s="3"/>
    </row>
    <row r="3842">
      <c r="G3842" s="3"/>
    </row>
    <row r="3843">
      <c r="G3843" s="3"/>
    </row>
    <row r="3844">
      <c r="G3844" s="3"/>
    </row>
    <row r="3845">
      <c r="G3845" s="3"/>
    </row>
    <row r="3846">
      <c r="G3846" s="3"/>
    </row>
    <row r="3847">
      <c r="G3847" s="3"/>
    </row>
    <row r="3848">
      <c r="G3848" s="3"/>
    </row>
    <row r="3849">
      <c r="G3849" s="3"/>
    </row>
    <row r="3850">
      <c r="G3850" s="3"/>
    </row>
    <row r="3851">
      <c r="G3851" s="3"/>
    </row>
    <row r="3852">
      <c r="G3852" s="3"/>
    </row>
    <row r="3853">
      <c r="G3853" s="3"/>
    </row>
    <row r="3854">
      <c r="G3854" s="3"/>
    </row>
    <row r="3855">
      <c r="G3855" s="3"/>
    </row>
    <row r="3856">
      <c r="G3856" s="3"/>
    </row>
    <row r="3857">
      <c r="G3857" s="3"/>
    </row>
    <row r="3858">
      <c r="G3858" s="3"/>
    </row>
    <row r="3859">
      <c r="G3859" s="3"/>
    </row>
    <row r="3860">
      <c r="G3860" s="3"/>
    </row>
    <row r="3861">
      <c r="G3861" s="3"/>
    </row>
    <row r="3862">
      <c r="G3862" s="3"/>
    </row>
    <row r="3863">
      <c r="G3863" s="3"/>
    </row>
    <row r="3864">
      <c r="G3864" s="3"/>
    </row>
    <row r="3865">
      <c r="G3865" s="3"/>
    </row>
    <row r="3866">
      <c r="G3866" s="3"/>
    </row>
    <row r="3867">
      <c r="G3867" s="3"/>
    </row>
    <row r="3868">
      <c r="G3868" s="3"/>
    </row>
    <row r="3869">
      <c r="G3869" s="3"/>
    </row>
    <row r="3870">
      <c r="G3870" s="3"/>
    </row>
    <row r="3871">
      <c r="G3871" s="3"/>
    </row>
    <row r="3872">
      <c r="G3872" s="3"/>
    </row>
    <row r="3873">
      <c r="G3873" s="3"/>
    </row>
    <row r="3874">
      <c r="G3874" s="3"/>
    </row>
    <row r="3875">
      <c r="G3875" s="3"/>
    </row>
    <row r="3876">
      <c r="G3876" s="3"/>
    </row>
    <row r="3877">
      <c r="G3877" s="3"/>
    </row>
    <row r="3878">
      <c r="G3878" s="3"/>
    </row>
    <row r="3879">
      <c r="G3879" s="3"/>
    </row>
    <row r="3880">
      <c r="G3880" s="3"/>
    </row>
    <row r="3881">
      <c r="G3881" s="3"/>
    </row>
    <row r="3882">
      <c r="G3882" s="3"/>
    </row>
    <row r="3883">
      <c r="G3883" s="3"/>
    </row>
    <row r="3884">
      <c r="G3884" s="3"/>
    </row>
    <row r="3885">
      <c r="G3885" s="3"/>
    </row>
    <row r="3886">
      <c r="G3886" s="3"/>
    </row>
    <row r="3887">
      <c r="G3887" s="3"/>
    </row>
    <row r="3888">
      <c r="G3888" s="3"/>
    </row>
    <row r="3889">
      <c r="G3889" s="3"/>
    </row>
    <row r="3890">
      <c r="G3890" s="3"/>
    </row>
    <row r="3891">
      <c r="G3891" s="3"/>
    </row>
    <row r="3892">
      <c r="G3892" s="3"/>
    </row>
    <row r="3893">
      <c r="G3893" s="3"/>
    </row>
    <row r="3894">
      <c r="G3894" s="3"/>
    </row>
    <row r="3895">
      <c r="G3895" s="3"/>
    </row>
    <row r="3896">
      <c r="G3896" s="3"/>
    </row>
    <row r="3897">
      <c r="G3897" s="3"/>
    </row>
    <row r="3898">
      <c r="G3898" s="3"/>
    </row>
    <row r="3899">
      <c r="G3899" s="3"/>
    </row>
    <row r="3900">
      <c r="G3900" s="3"/>
    </row>
    <row r="3901">
      <c r="G3901" s="3"/>
    </row>
    <row r="3902">
      <c r="G3902" s="3"/>
    </row>
    <row r="3903">
      <c r="G3903" s="3"/>
    </row>
    <row r="3904">
      <c r="G3904" s="3"/>
    </row>
    <row r="3905">
      <c r="G3905" s="3"/>
    </row>
    <row r="3906">
      <c r="G3906" s="3"/>
    </row>
    <row r="3907">
      <c r="G3907" s="3"/>
    </row>
    <row r="3908">
      <c r="G3908" s="3"/>
    </row>
    <row r="3909">
      <c r="G3909" s="3"/>
    </row>
    <row r="3910">
      <c r="G3910" s="3"/>
    </row>
    <row r="3911">
      <c r="G3911" s="3"/>
    </row>
    <row r="3912">
      <c r="G3912" s="3"/>
    </row>
    <row r="3913">
      <c r="G3913" s="3"/>
    </row>
    <row r="3914">
      <c r="G3914" s="3"/>
    </row>
    <row r="3915">
      <c r="G3915" s="3"/>
    </row>
    <row r="3916">
      <c r="G3916" s="3"/>
    </row>
    <row r="3917">
      <c r="G3917" s="3"/>
    </row>
    <row r="3918">
      <c r="G3918" s="3"/>
    </row>
    <row r="3919">
      <c r="G3919" s="3"/>
    </row>
    <row r="3920">
      <c r="G3920" s="3"/>
    </row>
    <row r="3921">
      <c r="G3921" s="3"/>
    </row>
    <row r="3922">
      <c r="G3922" s="3"/>
    </row>
    <row r="3923">
      <c r="G3923" s="3"/>
    </row>
    <row r="3924">
      <c r="G3924" s="3"/>
    </row>
    <row r="3925">
      <c r="G3925" s="3"/>
    </row>
    <row r="3926">
      <c r="G3926" s="3"/>
    </row>
    <row r="3927">
      <c r="G3927" s="3"/>
    </row>
    <row r="3928">
      <c r="G3928" s="3"/>
    </row>
    <row r="3929">
      <c r="G3929" s="3"/>
    </row>
    <row r="3930">
      <c r="G3930" s="3"/>
    </row>
    <row r="3931">
      <c r="G3931" s="3"/>
    </row>
    <row r="3932">
      <c r="G3932" s="3"/>
    </row>
    <row r="3933">
      <c r="G3933" s="3"/>
    </row>
    <row r="3934">
      <c r="G3934" s="3"/>
    </row>
    <row r="3935">
      <c r="G3935" s="3"/>
    </row>
    <row r="3936">
      <c r="G3936" s="3"/>
    </row>
    <row r="3937">
      <c r="G3937" s="3"/>
    </row>
    <row r="3938">
      <c r="G3938" s="3"/>
    </row>
    <row r="3939">
      <c r="G3939" s="3"/>
    </row>
    <row r="3940">
      <c r="G3940" s="3"/>
    </row>
    <row r="3941">
      <c r="G3941" s="3"/>
    </row>
    <row r="3942">
      <c r="G3942" s="3"/>
    </row>
    <row r="3943">
      <c r="G3943" s="3"/>
    </row>
    <row r="3944">
      <c r="G3944" s="3"/>
    </row>
    <row r="3945">
      <c r="G3945" s="3"/>
    </row>
    <row r="3946">
      <c r="G3946" s="3"/>
    </row>
    <row r="3947">
      <c r="G3947" s="3"/>
    </row>
    <row r="3948">
      <c r="G3948" s="3"/>
    </row>
    <row r="3949">
      <c r="G3949" s="3"/>
    </row>
    <row r="3950">
      <c r="G3950" s="3"/>
    </row>
    <row r="3951">
      <c r="G3951" s="3"/>
    </row>
    <row r="3952">
      <c r="G3952" s="3"/>
    </row>
    <row r="3953">
      <c r="G3953" s="3"/>
    </row>
    <row r="3954">
      <c r="G3954" s="3"/>
    </row>
    <row r="3955">
      <c r="G3955" s="3"/>
    </row>
    <row r="3956">
      <c r="G3956" s="3"/>
    </row>
    <row r="3957">
      <c r="G3957" s="3"/>
    </row>
    <row r="3958">
      <c r="G3958" s="3"/>
    </row>
    <row r="3959">
      <c r="G3959" s="3"/>
    </row>
    <row r="3960">
      <c r="G3960" s="3"/>
    </row>
    <row r="3961">
      <c r="G3961" s="3"/>
    </row>
    <row r="3962">
      <c r="G3962" s="3"/>
    </row>
    <row r="3963">
      <c r="G3963" s="3"/>
    </row>
    <row r="3964">
      <c r="G3964" s="3"/>
    </row>
    <row r="3965">
      <c r="G3965" s="3"/>
    </row>
    <row r="3966">
      <c r="G3966" s="3"/>
    </row>
    <row r="3967">
      <c r="G3967" s="3"/>
    </row>
    <row r="3968">
      <c r="G3968" s="3"/>
    </row>
    <row r="3969">
      <c r="G3969" s="3"/>
    </row>
    <row r="3970">
      <c r="G3970" s="3"/>
    </row>
    <row r="3971">
      <c r="G3971" s="3"/>
    </row>
    <row r="3972">
      <c r="G3972" s="3"/>
    </row>
    <row r="3973">
      <c r="G3973" s="3"/>
    </row>
    <row r="3974">
      <c r="G3974" s="3"/>
    </row>
    <row r="3975">
      <c r="G3975" s="3"/>
    </row>
    <row r="3976">
      <c r="G3976" s="3"/>
    </row>
    <row r="3977">
      <c r="G3977" s="3"/>
    </row>
    <row r="3978">
      <c r="G3978" s="3"/>
    </row>
    <row r="3979">
      <c r="G3979" s="3"/>
    </row>
    <row r="3980">
      <c r="G3980" s="3"/>
    </row>
    <row r="3981">
      <c r="G3981" s="3"/>
    </row>
    <row r="3982">
      <c r="G3982" s="3"/>
    </row>
    <row r="3983">
      <c r="G3983" s="3"/>
    </row>
    <row r="3984">
      <c r="G3984" s="3"/>
    </row>
    <row r="3985">
      <c r="G3985" s="3"/>
    </row>
    <row r="3986">
      <c r="G3986" s="3"/>
    </row>
    <row r="3987">
      <c r="G3987" s="3"/>
    </row>
    <row r="3988">
      <c r="G3988" s="3"/>
    </row>
    <row r="3989">
      <c r="G3989" s="3"/>
    </row>
    <row r="3990">
      <c r="G3990" s="3"/>
    </row>
    <row r="3991">
      <c r="G3991" s="3"/>
    </row>
    <row r="3992">
      <c r="G3992" s="3"/>
    </row>
    <row r="3993">
      <c r="G3993" s="3"/>
    </row>
    <row r="3994">
      <c r="G3994" s="3"/>
    </row>
    <row r="3995">
      <c r="G3995" s="3"/>
    </row>
    <row r="3996">
      <c r="G3996" s="3"/>
    </row>
    <row r="3997">
      <c r="G3997" s="3"/>
    </row>
    <row r="3998">
      <c r="G3998" s="3"/>
    </row>
    <row r="3999">
      <c r="G3999" s="3"/>
    </row>
    <row r="4000">
      <c r="G4000" s="3"/>
    </row>
    <row r="4001">
      <c r="G4001" s="3"/>
    </row>
    <row r="4002">
      <c r="G4002" s="3"/>
    </row>
    <row r="4003">
      <c r="G4003" s="3"/>
    </row>
    <row r="4004">
      <c r="G4004" s="3"/>
    </row>
    <row r="4005">
      <c r="G4005" s="3"/>
    </row>
    <row r="4006">
      <c r="G4006" s="3"/>
    </row>
    <row r="4007">
      <c r="G4007" s="3"/>
    </row>
    <row r="4008">
      <c r="G4008" s="3"/>
    </row>
    <row r="4009">
      <c r="G4009" s="3"/>
    </row>
    <row r="4010">
      <c r="G4010" s="3"/>
    </row>
    <row r="4011">
      <c r="G4011" s="3"/>
    </row>
    <row r="4012">
      <c r="G4012" s="3"/>
    </row>
    <row r="4013">
      <c r="G4013" s="3"/>
    </row>
    <row r="4014">
      <c r="G4014" s="3"/>
    </row>
    <row r="4015">
      <c r="G4015" s="3"/>
    </row>
    <row r="4016">
      <c r="G4016" s="3"/>
    </row>
    <row r="4017">
      <c r="G4017" s="3"/>
    </row>
    <row r="4018">
      <c r="G4018" s="3"/>
    </row>
    <row r="4019">
      <c r="G4019" s="3"/>
    </row>
    <row r="4020">
      <c r="G4020" s="3"/>
    </row>
    <row r="4021">
      <c r="G4021" s="3"/>
    </row>
    <row r="4022">
      <c r="G4022" s="3"/>
    </row>
    <row r="4023">
      <c r="G4023" s="3"/>
    </row>
    <row r="4024">
      <c r="G4024" s="3"/>
    </row>
    <row r="4025">
      <c r="G4025" s="3"/>
    </row>
    <row r="4026">
      <c r="G4026" s="3"/>
    </row>
    <row r="4027">
      <c r="G4027" s="3"/>
    </row>
    <row r="4028">
      <c r="G4028" s="3"/>
    </row>
    <row r="4029">
      <c r="G4029" s="3"/>
    </row>
    <row r="4030">
      <c r="G4030" s="3"/>
    </row>
    <row r="4031">
      <c r="G4031" s="3"/>
    </row>
    <row r="4032">
      <c r="G4032" s="3"/>
    </row>
    <row r="4033">
      <c r="G4033" s="3"/>
    </row>
    <row r="4034">
      <c r="G4034" s="3"/>
    </row>
    <row r="4035">
      <c r="G4035" s="3"/>
    </row>
    <row r="4036">
      <c r="G4036" s="3"/>
    </row>
    <row r="4037">
      <c r="G4037" s="3"/>
    </row>
    <row r="4038">
      <c r="G4038" s="3"/>
    </row>
    <row r="4039">
      <c r="G4039" s="3"/>
    </row>
    <row r="4040">
      <c r="G4040" s="3"/>
    </row>
    <row r="4041">
      <c r="G4041" s="3"/>
    </row>
    <row r="4042">
      <c r="G4042" s="3"/>
    </row>
    <row r="4043">
      <c r="G4043" s="3"/>
    </row>
    <row r="4044">
      <c r="G4044" s="3"/>
    </row>
    <row r="4045">
      <c r="G4045" s="3"/>
    </row>
    <row r="4046">
      <c r="G4046" s="3"/>
    </row>
    <row r="4047">
      <c r="G4047" s="3"/>
    </row>
    <row r="4048">
      <c r="G4048" s="3"/>
    </row>
    <row r="4049">
      <c r="G4049" s="3"/>
    </row>
    <row r="4050">
      <c r="G4050" s="3"/>
    </row>
    <row r="4051">
      <c r="G4051" s="3"/>
    </row>
    <row r="4052">
      <c r="G4052" s="3"/>
    </row>
    <row r="4053">
      <c r="G4053" s="3"/>
    </row>
    <row r="4054">
      <c r="G4054" s="3"/>
    </row>
    <row r="4055">
      <c r="G4055" s="3"/>
    </row>
    <row r="4056">
      <c r="G4056" s="3"/>
    </row>
    <row r="4057">
      <c r="G4057" s="3"/>
    </row>
    <row r="4058">
      <c r="G4058" s="3"/>
    </row>
    <row r="4059">
      <c r="G4059" s="3"/>
    </row>
    <row r="4060">
      <c r="G4060" s="3"/>
    </row>
    <row r="4061">
      <c r="G4061" s="3"/>
    </row>
    <row r="4062">
      <c r="G4062" s="3"/>
    </row>
    <row r="4063">
      <c r="G4063" s="3"/>
    </row>
    <row r="4064">
      <c r="G4064" s="3"/>
    </row>
    <row r="4065">
      <c r="G4065" s="3"/>
    </row>
    <row r="4066">
      <c r="G4066" s="3"/>
    </row>
    <row r="4067">
      <c r="G4067" s="3"/>
    </row>
    <row r="4068">
      <c r="G4068" s="3"/>
    </row>
    <row r="4069">
      <c r="G4069" s="3"/>
    </row>
    <row r="4070">
      <c r="G4070" s="3"/>
    </row>
    <row r="4071">
      <c r="G4071" s="3"/>
    </row>
    <row r="4072">
      <c r="G4072" s="3"/>
    </row>
    <row r="4073">
      <c r="G4073" s="3"/>
    </row>
    <row r="4074">
      <c r="G4074" s="3"/>
    </row>
    <row r="4075">
      <c r="G4075" s="3"/>
    </row>
    <row r="4076">
      <c r="G4076" s="3"/>
    </row>
    <row r="4077">
      <c r="G4077" s="3"/>
    </row>
    <row r="4078">
      <c r="G4078" s="3"/>
    </row>
    <row r="4079">
      <c r="G4079" s="3"/>
    </row>
    <row r="4080">
      <c r="G4080" s="3"/>
    </row>
    <row r="4081">
      <c r="G4081" s="3"/>
    </row>
    <row r="4082">
      <c r="G4082" s="3"/>
    </row>
    <row r="4083">
      <c r="G4083" s="3"/>
    </row>
    <row r="4084">
      <c r="G4084" s="3"/>
    </row>
    <row r="4085">
      <c r="G4085" s="3"/>
    </row>
    <row r="4086">
      <c r="G4086" s="3"/>
    </row>
    <row r="4087">
      <c r="G4087" s="3"/>
    </row>
    <row r="4088">
      <c r="G4088" s="3"/>
    </row>
    <row r="4089">
      <c r="G4089" s="3"/>
    </row>
    <row r="4090">
      <c r="G4090" s="3"/>
    </row>
    <row r="4091">
      <c r="G4091" s="3"/>
    </row>
    <row r="4092">
      <c r="G4092" s="3"/>
    </row>
    <row r="4093">
      <c r="G4093" s="3"/>
    </row>
    <row r="4094">
      <c r="G4094" s="3"/>
    </row>
    <row r="4095">
      <c r="G4095" s="3"/>
    </row>
    <row r="4096">
      <c r="G4096" s="3"/>
    </row>
    <row r="4097">
      <c r="G4097" s="3"/>
    </row>
    <row r="4098">
      <c r="G4098" s="3"/>
    </row>
    <row r="4099">
      <c r="G4099" s="3"/>
    </row>
    <row r="4100">
      <c r="G4100" s="3"/>
    </row>
    <row r="4101">
      <c r="G4101" s="3"/>
    </row>
    <row r="4102">
      <c r="G4102" s="3"/>
    </row>
    <row r="4103">
      <c r="G4103" s="3"/>
    </row>
    <row r="4104">
      <c r="G4104" s="3"/>
    </row>
    <row r="4105">
      <c r="G4105" s="3"/>
    </row>
    <row r="4106">
      <c r="G4106" s="3"/>
    </row>
    <row r="4107">
      <c r="G4107" s="3"/>
    </row>
    <row r="4108">
      <c r="G4108" s="3"/>
    </row>
    <row r="4109">
      <c r="G4109" s="3"/>
    </row>
    <row r="4110">
      <c r="G4110" s="3"/>
    </row>
    <row r="4111">
      <c r="G4111" s="3"/>
    </row>
    <row r="4112">
      <c r="G4112" s="3"/>
    </row>
    <row r="4113">
      <c r="G4113" s="3"/>
    </row>
    <row r="4114">
      <c r="G4114" s="3"/>
    </row>
    <row r="4115">
      <c r="G4115" s="3"/>
    </row>
    <row r="4116">
      <c r="G4116" s="3"/>
    </row>
    <row r="4117">
      <c r="G4117" s="3"/>
    </row>
    <row r="4118">
      <c r="G4118" s="3"/>
    </row>
    <row r="4119">
      <c r="G4119" s="3"/>
    </row>
    <row r="4120">
      <c r="G4120" s="3"/>
    </row>
    <row r="4121">
      <c r="G4121" s="3"/>
    </row>
    <row r="4122">
      <c r="G4122" s="3"/>
    </row>
    <row r="4123">
      <c r="G4123" s="3"/>
    </row>
    <row r="4124">
      <c r="G4124" s="3"/>
    </row>
    <row r="4125">
      <c r="G4125" s="3"/>
    </row>
    <row r="4126">
      <c r="G4126" s="3"/>
    </row>
    <row r="4127">
      <c r="G4127" s="3"/>
    </row>
    <row r="4128">
      <c r="G4128" s="3"/>
    </row>
    <row r="4129">
      <c r="G4129" s="3"/>
    </row>
    <row r="4130">
      <c r="G4130" s="3"/>
    </row>
  </sheetData>
  <conditionalFormatting sqref="G2">
    <cfRule type="notContainsBlanks" dxfId="0" priority="1">
      <formula>LEN(TRIM(G2))&gt;0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8" width="34.63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12</v>
      </c>
      <c r="I1" s="7" t="s">
        <v>8</v>
      </c>
      <c r="J1" s="2" t="s">
        <v>9</v>
      </c>
      <c r="K1" s="2" t="s">
        <v>10</v>
      </c>
      <c r="L1" s="2" t="s">
        <v>11</v>
      </c>
    </row>
    <row r="2">
      <c r="A2" s="2">
        <v>0.23</v>
      </c>
      <c r="B2" s="2">
        <v>229.4</v>
      </c>
      <c r="C2" s="2">
        <v>0.6</v>
      </c>
      <c r="D2" s="2">
        <v>0.0</v>
      </c>
      <c r="E2" s="2">
        <v>0.01</v>
      </c>
      <c r="F2" s="2">
        <v>50.0</v>
      </c>
      <c r="G2" s="4">
        <v>44460.78171473379</v>
      </c>
      <c r="H2" s="8">
        <v>44460.0</v>
      </c>
      <c r="J2" s="2">
        <v>2.6</v>
      </c>
      <c r="K2" s="2">
        <v>2.84</v>
      </c>
      <c r="L2" s="4">
        <v>3638.0</v>
      </c>
    </row>
    <row r="3">
      <c r="A3" s="2">
        <v>0.23</v>
      </c>
      <c r="B3" s="2">
        <v>229.4</v>
      </c>
      <c r="C3" s="2">
        <v>0.6</v>
      </c>
      <c r="D3" s="2">
        <v>0.0</v>
      </c>
      <c r="E3" s="2">
        <v>0.01</v>
      </c>
      <c r="F3" s="2">
        <v>50.0</v>
      </c>
      <c r="G3" s="4">
        <v>44460.781752951385</v>
      </c>
      <c r="H3" s="8">
        <v>44460.0</v>
      </c>
    </row>
    <row r="4">
      <c r="A4" s="2">
        <v>0.23</v>
      </c>
      <c r="B4" s="2">
        <v>229.4</v>
      </c>
      <c r="C4" s="2">
        <v>0.6</v>
      </c>
      <c r="D4" s="2">
        <v>0.0</v>
      </c>
      <c r="E4" s="2">
        <v>0.01</v>
      </c>
      <c r="F4" s="2">
        <v>50.0</v>
      </c>
      <c r="G4" s="4">
        <v>44460.78188167824</v>
      </c>
      <c r="H4" s="8">
        <v>44460.0</v>
      </c>
    </row>
    <row r="5">
      <c r="A5" s="2">
        <v>0.23</v>
      </c>
      <c r="B5" s="2">
        <v>229.3</v>
      </c>
      <c r="C5" s="2">
        <v>0.6</v>
      </c>
      <c r="D5" s="2">
        <v>0.0</v>
      </c>
      <c r="E5" s="2">
        <v>0.01</v>
      </c>
      <c r="F5" s="2">
        <v>50.0</v>
      </c>
      <c r="G5" s="4">
        <v>44460.78198141204</v>
      </c>
      <c r="H5" s="8">
        <v>44460.0</v>
      </c>
    </row>
    <row r="6">
      <c r="A6" s="2">
        <v>0.23</v>
      </c>
      <c r="B6" s="2">
        <v>229.5</v>
      </c>
      <c r="C6" s="2">
        <v>0.6</v>
      </c>
      <c r="D6" s="2">
        <v>0.0</v>
      </c>
      <c r="E6" s="2">
        <v>0.01</v>
      </c>
      <c r="F6" s="2">
        <v>50.0</v>
      </c>
      <c r="G6" s="4">
        <v>44460.78208355324</v>
      </c>
      <c r="H6" s="8">
        <v>44460.0</v>
      </c>
    </row>
    <row r="7">
      <c r="A7" s="2">
        <v>0.23</v>
      </c>
      <c r="B7" s="2">
        <v>229.5</v>
      </c>
      <c r="C7" s="2">
        <v>0.6</v>
      </c>
      <c r="D7" s="2">
        <v>0.0</v>
      </c>
      <c r="E7" s="2">
        <v>0.01</v>
      </c>
      <c r="F7" s="2">
        <v>50.0</v>
      </c>
      <c r="G7" s="4">
        <v>44460.78219025463</v>
      </c>
      <c r="H7" s="8">
        <v>44460.0</v>
      </c>
    </row>
    <row r="8">
      <c r="A8" s="2">
        <v>0.23</v>
      </c>
      <c r="B8" s="2">
        <v>229.5</v>
      </c>
      <c r="C8" s="2">
        <v>0.6</v>
      </c>
      <c r="D8" s="2">
        <v>0.0</v>
      </c>
      <c r="E8" s="2">
        <v>0.01</v>
      </c>
      <c r="F8" s="2">
        <v>49.9</v>
      </c>
      <c r="G8" s="4">
        <v>44460.78271328704</v>
      </c>
      <c r="H8" s="8">
        <v>44460.0</v>
      </c>
    </row>
    <row r="9">
      <c r="A9" s="2">
        <v>0.23</v>
      </c>
      <c r="B9" s="2">
        <v>229.5</v>
      </c>
      <c r="C9" s="2">
        <v>0.6</v>
      </c>
      <c r="D9" s="2">
        <v>0.0</v>
      </c>
      <c r="E9" s="2">
        <v>0.01</v>
      </c>
      <c r="F9" s="2">
        <v>49.9</v>
      </c>
      <c r="G9" s="4">
        <v>44460.7827677662</v>
      </c>
      <c r="H9" s="8">
        <v>44460.0</v>
      </c>
    </row>
    <row r="10">
      <c r="A10" s="2">
        <v>0.23</v>
      </c>
      <c r="B10" s="2">
        <v>229.6</v>
      </c>
      <c r="C10" s="2">
        <v>0.5</v>
      </c>
      <c r="D10" s="2">
        <v>0.0</v>
      </c>
      <c r="E10" s="2">
        <v>0.01</v>
      </c>
      <c r="F10" s="2">
        <v>49.9</v>
      </c>
      <c r="G10" s="4">
        <v>44460.782871145835</v>
      </c>
      <c r="H10" s="8">
        <v>44460.0</v>
      </c>
    </row>
    <row r="11">
      <c r="A11" s="2">
        <v>0.23</v>
      </c>
      <c r="B11" s="2">
        <v>229.5</v>
      </c>
      <c r="C11" s="2">
        <v>0.6</v>
      </c>
      <c r="D11" s="2">
        <v>0.0</v>
      </c>
      <c r="E11" s="2">
        <v>0.01</v>
      </c>
      <c r="F11" s="2">
        <v>49.9</v>
      </c>
      <c r="G11" s="4">
        <v>44460.78296902778</v>
      </c>
      <c r="H11" s="8">
        <v>44460.0</v>
      </c>
    </row>
    <row r="12">
      <c r="A12" s="2">
        <v>0.23</v>
      </c>
      <c r="B12" s="2">
        <v>229.5</v>
      </c>
      <c r="C12" s="2">
        <v>0.6</v>
      </c>
      <c r="D12" s="2">
        <v>0.0</v>
      </c>
      <c r="E12" s="2">
        <v>0.01</v>
      </c>
      <c r="F12" s="2">
        <v>49.9</v>
      </c>
      <c r="G12" s="4">
        <v>44460.78306726852</v>
      </c>
      <c r="H12" s="8">
        <v>44460.0</v>
      </c>
    </row>
    <row r="13">
      <c r="A13" s="2">
        <v>0.24</v>
      </c>
      <c r="B13" s="2">
        <v>229.6</v>
      </c>
      <c r="C13" s="2">
        <v>0.0</v>
      </c>
      <c r="D13" s="2">
        <v>0.0</v>
      </c>
      <c r="E13" s="2">
        <v>0.0</v>
      </c>
      <c r="F13" s="2">
        <v>50.0</v>
      </c>
      <c r="G13" s="4">
        <v>44460.78316755787</v>
      </c>
      <c r="H13" s="8">
        <v>44460.0</v>
      </c>
    </row>
    <row r="14">
      <c r="A14" s="2">
        <v>3.51</v>
      </c>
      <c r="B14" s="2">
        <v>227.1</v>
      </c>
      <c r="C14" s="2">
        <v>776.7</v>
      </c>
      <c r="D14" s="2">
        <v>0.0</v>
      </c>
      <c r="E14" s="2">
        <v>0.97</v>
      </c>
      <c r="F14" s="2">
        <v>50.0</v>
      </c>
      <c r="G14" s="4">
        <v>44460.783263634265</v>
      </c>
      <c r="H14" s="8">
        <v>44460.0</v>
      </c>
    </row>
    <row r="15">
      <c r="A15" s="2">
        <v>3.52</v>
      </c>
      <c r="B15" s="2">
        <v>226.9</v>
      </c>
      <c r="C15" s="2">
        <v>777.4</v>
      </c>
      <c r="D15" s="2">
        <v>0.0</v>
      </c>
      <c r="E15" s="2">
        <v>0.97</v>
      </c>
      <c r="F15" s="2">
        <v>50.0</v>
      </c>
      <c r="G15" s="4">
        <v>44460.78336236111</v>
      </c>
      <c r="H15" s="8">
        <v>44460.0</v>
      </c>
    </row>
    <row r="16">
      <c r="A16" s="2">
        <v>3.52</v>
      </c>
      <c r="B16" s="2">
        <v>226.9</v>
      </c>
      <c r="C16" s="2">
        <v>778.0</v>
      </c>
      <c r="D16" s="2">
        <v>0.01</v>
      </c>
      <c r="E16" s="2">
        <v>0.97</v>
      </c>
      <c r="F16" s="2">
        <v>50.0</v>
      </c>
      <c r="G16" s="4">
        <v>44460.78346253472</v>
      </c>
      <c r="H16" s="8">
        <v>44460.0</v>
      </c>
    </row>
    <row r="17">
      <c r="A17" s="2">
        <v>3.52</v>
      </c>
      <c r="B17" s="2">
        <v>227.0</v>
      </c>
      <c r="C17" s="2">
        <v>778.3</v>
      </c>
      <c r="D17" s="2">
        <v>0.01</v>
      </c>
      <c r="E17" s="2">
        <v>0.97</v>
      </c>
      <c r="F17" s="2">
        <v>50.0</v>
      </c>
      <c r="G17" s="4">
        <v>44460.78356159722</v>
      </c>
      <c r="H17" s="8">
        <v>44460.0</v>
      </c>
    </row>
    <row r="18">
      <c r="A18" s="2">
        <v>3.52</v>
      </c>
      <c r="B18" s="2">
        <v>227.1</v>
      </c>
      <c r="C18" s="2">
        <v>778.7</v>
      </c>
      <c r="D18" s="2">
        <v>0.01</v>
      </c>
      <c r="E18" s="2">
        <v>0.97</v>
      </c>
      <c r="F18" s="2">
        <v>50.0</v>
      </c>
      <c r="G18" s="4">
        <v>44460.78365990741</v>
      </c>
      <c r="H18" s="8">
        <v>44460.0</v>
      </c>
    </row>
    <row r="19">
      <c r="A19" s="2">
        <v>3.52</v>
      </c>
      <c r="B19" s="2">
        <v>227.0</v>
      </c>
      <c r="C19" s="2">
        <v>779.1</v>
      </c>
      <c r="D19" s="2">
        <v>0.01</v>
      </c>
      <c r="E19" s="2">
        <v>0.97</v>
      </c>
      <c r="F19" s="2">
        <v>50.0</v>
      </c>
      <c r="G19" s="4">
        <v>44460.78375686343</v>
      </c>
      <c r="H19" s="8">
        <v>44460.0</v>
      </c>
    </row>
    <row r="20">
      <c r="A20" s="2">
        <v>3.52</v>
      </c>
      <c r="B20" s="2">
        <v>227.1</v>
      </c>
      <c r="C20" s="2">
        <v>779.3</v>
      </c>
      <c r="D20" s="2">
        <v>0.01</v>
      </c>
      <c r="E20" s="2">
        <v>0.97</v>
      </c>
      <c r="F20" s="2">
        <v>50.0</v>
      </c>
      <c r="G20" s="4">
        <v>44460.783854629626</v>
      </c>
      <c r="H20" s="8">
        <v>44460.0</v>
      </c>
    </row>
    <row r="21">
      <c r="A21" s="2">
        <v>3.53</v>
      </c>
      <c r="B21" s="2">
        <v>227.2</v>
      </c>
      <c r="C21" s="2">
        <v>779.8</v>
      </c>
      <c r="D21" s="2">
        <v>0.02</v>
      </c>
      <c r="E21" s="2">
        <v>0.97</v>
      </c>
      <c r="F21" s="2">
        <v>50.0</v>
      </c>
      <c r="G21" s="4">
        <v>44460.784014791665</v>
      </c>
      <c r="H21" s="8">
        <v>44460.0</v>
      </c>
    </row>
    <row r="22">
      <c r="A22" s="2">
        <v>3.53</v>
      </c>
      <c r="B22" s="2">
        <v>227.1</v>
      </c>
      <c r="C22" s="2">
        <v>779.9</v>
      </c>
      <c r="D22" s="2">
        <v>0.02</v>
      </c>
      <c r="E22" s="2">
        <v>0.97</v>
      </c>
      <c r="F22" s="2">
        <v>50.0</v>
      </c>
      <c r="G22" s="4">
        <v>44460.78411201389</v>
      </c>
      <c r="H22" s="8">
        <v>44460.0</v>
      </c>
    </row>
    <row r="23">
      <c r="A23" s="2">
        <v>3.53</v>
      </c>
      <c r="B23" s="2">
        <v>227.0</v>
      </c>
      <c r="C23" s="2">
        <v>780.2</v>
      </c>
      <c r="D23" s="2">
        <v>0.02</v>
      </c>
      <c r="E23" s="2">
        <v>0.97</v>
      </c>
      <c r="F23" s="2">
        <v>50.0</v>
      </c>
      <c r="G23" s="4">
        <v>44460.78420921296</v>
      </c>
      <c r="H23" s="8">
        <v>44460.0</v>
      </c>
    </row>
    <row r="24">
      <c r="A24" s="2">
        <v>3.53</v>
      </c>
      <c r="B24" s="2">
        <v>227.1</v>
      </c>
      <c r="C24" s="2">
        <v>780.4</v>
      </c>
      <c r="D24" s="2">
        <v>0.02</v>
      </c>
      <c r="E24" s="2">
        <v>0.97</v>
      </c>
      <c r="F24" s="2">
        <v>50.0</v>
      </c>
      <c r="G24" s="4">
        <v>44460.78431083333</v>
      </c>
      <c r="H24" s="8">
        <v>44460.0</v>
      </c>
    </row>
    <row r="25">
      <c r="A25" s="2">
        <v>3.53</v>
      </c>
      <c r="B25" s="2">
        <v>226.9</v>
      </c>
      <c r="C25" s="2">
        <v>780.6</v>
      </c>
      <c r="D25" s="2">
        <v>0.03</v>
      </c>
      <c r="E25" s="2">
        <v>0.97</v>
      </c>
      <c r="F25" s="2">
        <v>50.0</v>
      </c>
      <c r="G25" s="4">
        <v>44460.78441605324</v>
      </c>
      <c r="H25" s="8">
        <v>44460.0</v>
      </c>
    </row>
    <row r="26">
      <c r="A26" s="2">
        <v>3.53</v>
      </c>
      <c r="B26" s="2">
        <v>227.0</v>
      </c>
      <c r="C26" s="2">
        <v>780.9</v>
      </c>
      <c r="D26" s="2">
        <v>0.03</v>
      </c>
      <c r="E26" s="2">
        <v>0.97</v>
      </c>
      <c r="F26" s="2">
        <v>49.9</v>
      </c>
      <c r="G26" s="4">
        <v>44460.78451784722</v>
      </c>
      <c r="H26" s="8">
        <v>44460.0</v>
      </c>
    </row>
    <row r="27">
      <c r="A27" s="2">
        <v>3.53</v>
      </c>
      <c r="B27" s="2">
        <v>227.0</v>
      </c>
      <c r="C27" s="2">
        <v>780.9</v>
      </c>
      <c r="D27" s="2">
        <v>0.03</v>
      </c>
      <c r="E27" s="2">
        <v>0.97</v>
      </c>
      <c r="F27" s="2">
        <v>50.0</v>
      </c>
      <c r="G27" s="4">
        <v>44460.784613344906</v>
      </c>
      <c r="H27" s="8">
        <v>44460.0</v>
      </c>
    </row>
    <row r="28">
      <c r="A28" s="2">
        <v>3.54</v>
      </c>
      <c r="B28" s="2">
        <v>226.9</v>
      </c>
      <c r="C28" s="2">
        <v>781.2</v>
      </c>
      <c r="D28" s="2">
        <v>0.03</v>
      </c>
      <c r="E28" s="2">
        <v>0.97</v>
      </c>
      <c r="F28" s="2">
        <v>49.9</v>
      </c>
      <c r="G28" s="4">
        <v>44460.78471028935</v>
      </c>
      <c r="H28" s="8">
        <v>44460.0</v>
      </c>
    </row>
    <row r="29">
      <c r="A29" s="2">
        <v>3.54</v>
      </c>
      <c r="B29" s="2">
        <v>226.9</v>
      </c>
      <c r="C29" s="2">
        <v>781.3</v>
      </c>
      <c r="D29" s="2">
        <v>0.03</v>
      </c>
      <c r="E29" s="2">
        <v>0.97</v>
      </c>
      <c r="F29" s="2">
        <v>50.0</v>
      </c>
      <c r="G29" s="4">
        <v>44460.78480770833</v>
      </c>
      <c r="H29" s="8">
        <v>44460.0</v>
      </c>
    </row>
    <row r="30">
      <c r="A30" s="2">
        <v>3.54</v>
      </c>
      <c r="B30" s="2">
        <v>226.9</v>
      </c>
      <c r="C30" s="2">
        <v>781.4</v>
      </c>
      <c r="D30" s="2">
        <v>0.03</v>
      </c>
      <c r="E30" s="2">
        <v>0.97</v>
      </c>
      <c r="F30" s="2">
        <v>50.0</v>
      </c>
      <c r="G30" s="4">
        <v>44460.7849040625</v>
      </c>
      <c r="H30" s="8">
        <v>44460.0</v>
      </c>
    </row>
    <row r="31">
      <c r="A31" s="2">
        <v>3.54</v>
      </c>
      <c r="B31" s="2">
        <v>226.9</v>
      </c>
      <c r="C31" s="2">
        <v>781.6</v>
      </c>
      <c r="D31" s="2">
        <v>0.04</v>
      </c>
      <c r="E31" s="2">
        <v>0.97</v>
      </c>
      <c r="F31" s="2">
        <v>49.9</v>
      </c>
      <c r="G31" s="4">
        <v>44460.785000358796</v>
      </c>
      <c r="H31" s="8">
        <v>44460.0</v>
      </c>
    </row>
    <row r="32">
      <c r="A32" s="2">
        <v>3.54</v>
      </c>
      <c r="B32" s="2">
        <v>226.9</v>
      </c>
      <c r="C32" s="2">
        <v>781.8</v>
      </c>
      <c r="D32" s="2">
        <v>0.04</v>
      </c>
      <c r="E32" s="2">
        <v>0.97</v>
      </c>
      <c r="F32" s="2">
        <v>50.0</v>
      </c>
      <c r="G32" s="4">
        <v>44460.78509577546</v>
      </c>
      <c r="H32" s="8">
        <v>44460.0</v>
      </c>
    </row>
    <row r="33">
      <c r="A33" s="2">
        <v>3.54</v>
      </c>
      <c r="B33" s="2">
        <v>227.0</v>
      </c>
      <c r="C33" s="2">
        <v>781.9</v>
      </c>
      <c r="D33" s="2">
        <v>0.04</v>
      </c>
      <c r="E33" s="2">
        <v>0.97</v>
      </c>
      <c r="F33" s="2">
        <v>50.0</v>
      </c>
      <c r="G33" s="4">
        <v>44460.78519473379</v>
      </c>
      <c r="H33" s="8">
        <v>44460.0</v>
      </c>
    </row>
    <row r="34">
      <c r="A34" s="2">
        <v>3.53</v>
      </c>
      <c r="B34" s="2">
        <v>227.2</v>
      </c>
      <c r="C34" s="2">
        <v>782.0</v>
      </c>
      <c r="D34" s="2">
        <v>0.04</v>
      </c>
      <c r="E34" s="2">
        <v>0.97</v>
      </c>
      <c r="F34" s="2">
        <v>50.0</v>
      </c>
      <c r="G34" s="4">
        <v>44460.785297256945</v>
      </c>
      <c r="H34" s="8">
        <v>44460.0</v>
      </c>
    </row>
    <row r="35">
      <c r="A35" s="2">
        <v>3.54</v>
      </c>
      <c r="B35" s="2">
        <v>227.1</v>
      </c>
      <c r="C35" s="2">
        <v>782.2</v>
      </c>
      <c r="D35" s="2">
        <v>0.04</v>
      </c>
      <c r="E35" s="2">
        <v>0.97</v>
      </c>
      <c r="F35" s="2">
        <v>50.0</v>
      </c>
      <c r="G35" s="4">
        <v>44460.78540332176</v>
      </c>
      <c r="H35" s="8">
        <v>44460.0</v>
      </c>
    </row>
    <row r="36">
      <c r="A36" s="2">
        <v>3.54</v>
      </c>
      <c r="B36" s="2">
        <v>227.0</v>
      </c>
      <c r="C36" s="2">
        <v>782.5</v>
      </c>
      <c r="D36" s="2">
        <v>0.05</v>
      </c>
      <c r="E36" s="2">
        <v>0.97</v>
      </c>
      <c r="F36" s="2">
        <v>50.0</v>
      </c>
      <c r="G36" s="4">
        <v>44460.78551385416</v>
      </c>
      <c r="H36" s="8">
        <v>44460.0</v>
      </c>
    </row>
    <row r="37">
      <c r="A37" s="2">
        <v>3.54</v>
      </c>
      <c r="B37" s="2">
        <v>227.0</v>
      </c>
      <c r="C37" s="2">
        <v>782.7</v>
      </c>
      <c r="D37" s="2">
        <v>0.05</v>
      </c>
      <c r="E37" s="2">
        <v>0.97</v>
      </c>
      <c r="F37" s="2">
        <v>50.0</v>
      </c>
      <c r="G37" s="4">
        <v>44460.78561280093</v>
      </c>
      <c r="H37" s="8">
        <v>44460.0</v>
      </c>
    </row>
    <row r="38">
      <c r="A38" s="2">
        <v>3.54</v>
      </c>
      <c r="B38" s="2">
        <v>227.0</v>
      </c>
      <c r="C38" s="2">
        <v>783.1</v>
      </c>
      <c r="D38" s="2">
        <v>0.05</v>
      </c>
      <c r="E38" s="2">
        <v>0.97</v>
      </c>
      <c r="F38" s="2">
        <v>50.0</v>
      </c>
      <c r="G38" s="4">
        <v>44460.7857084375</v>
      </c>
      <c r="H38" s="8">
        <v>44460.0</v>
      </c>
    </row>
    <row r="39">
      <c r="A39" s="2">
        <v>3.54</v>
      </c>
      <c r="B39" s="2">
        <v>227.0</v>
      </c>
      <c r="C39" s="2">
        <v>783.3</v>
      </c>
      <c r="D39" s="2">
        <v>0.05</v>
      </c>
      <c r="E39" s="2">
        <v>0.97</v>
      </c>
      <c r="F39" s="2">
        <v>50.0</v>
      </c>
      <c r="G39" s="4">
        <v>44460.785813703704</v>
      </c>
      <c r="H39" s="8">
        <v>44460.0</v>
      </c>
    </row>
    <row r="40">
      <c r="A40" s="2">
        <v>3.54</v>
      </c>
      <c r="B40" s="2">
        <v>227.0</v>
      </c>
      <c r="C40" s="2">
        <v>783.5</v>
      </c>
      <c r="D40" s="2">
        <v>0.05</v>
      </c>
      <c r="E40" s="2">
        <v>0.97</v>
      </c>
      <c r="F40" s="2">
        <v>50.0</v>
      </c>
      <c r="G40" s="4">
        <v>44460.78592013889</v>
      </c>
      <c r="H40" s="8">
        <v>44460.0</v>
      </c>
    </row>
    <row r="41">
      <c r="A41" s="2">
        <v>3.55</v>
      </c>
      <c r="B41" s="2">
        <v>226.9</v>
      </c>
      <c r="C41" s="2">
        <v>783.6</v>
      </c>
      <c r="D41" s="2">
        <v>0.05</v>
      </c>
      <c r="E41" s="2">
        <v>0.97</v>
      </c>
      <c r="F41" s="2">
        <v>50.0</v>
      </c>
      <c r="G41" s="4">
        <v>44460.78601707176</v>
      </c>
      <c r="H41" s="8">
        <v>44460.0</v>
      </c>
    </row>
    <row r="42">
      <c r="A42" s="2">
        <v>3.55</v>
      </c>
      <c r="B42" s="2">
        <v>226.9</v>
      </c>
      <c r="C42" s="2">
        <v>783.8</v>
      </c>
      <c r="D42" s="2">
        <v>0.06</v>
      </c>
      <c r="E42" s="2">
        <v>0.97</v>
      </c>
      <c r="F42" s="2">
        <v>50.0</v>
      </c>
      <c r="G42" s="4">
        <v>44460.786122523146</v>
      </c>
      <c r="H42" s="8">
        <v>44460.0</v>
      </c>
    </row>
    <row r="43">
      <c r="A43" s="2">
        <v>3.55</v>
      </c>
      <c r="B43" s="2">
        <v>226.9</v>
      </c>
      <c r="C43" s="2">
        <v>783.9</v>
      </c>
      <c r="D43" s="2">
        <v>0.06</v>
      </c>
      <c r="E43" s="2">
        <v>0.97</v>
      </c>
      <c r="F43" s="2">
        <v>50.0</v>
      </c>
      <c r="G43" s="4">
        <v>44460.78622969908</v>
      </c>
      <c r="H43" s="8">
        <v>44460.0</v>
      </c>
    </row>
    <row r="44">
      <c r="A44" s="2">
        <v>3.55</v>
      </c>
      <c r="B44" s="2">
        <v>226.8</v>
      </c>
      <c r="C44" s="2">
        <v>784.1</v>
      </c>
      <c r="D44" s="2">
        <v>0.06</v>
      </c>
      <c r="E44" s="2">
        <v>0.97</v>
      </c>
      <c r="F44" s="2">
        <v>50.0</v>
      </c>
      <c r="G44" s="4">
        <v>44460.78633393519</v>
      </c>
      <c r="H44" s="8">
        <v>44460.0</v>
      </c>
    </row>
    <row r="45">
      <c r="A45" s="2">
        <v>3.55</v>
      </c>
      <c r="B45" s="2">
        <v>226.8</v>
      </c>
      <c r="C45" s="2">
        <v>784.3</v>
      </c>
      <c r="D45" s="2">
        <v>0.06</v>
      </c>
      <c r="E45" s="2">
        <v>0.97</v>
      </c>
      <c r="F45" s="2">
        <v>50.0</v>
      </c>
      <c r="G45" s="4">
        <v>44460.786440138894</v>
      </c>
      <c r="H45" s="8">
        <v>44460.0</v>
      </c>
    </row>
    <row r="46">
      <c r="A46" s="2">
        <v>3.55</v>
      </c>
      <c r="B46" s="2">
        <v>227.0</v>
      </c>
      <c r="C46" s="2">
        <v>784.4</v>
      </c>
      <c r="D46" s="2">
        <v>0.06</v>
      </c>
      <c r="E46" s="2">
        <v>0.97</v>
      </c>
      <c r="F46" s="2">
        <v>50.0</v>
      </c>
      <c r="G46" s="4">
        <v>44460.786548171294</v>
      </c>
      <c r="H46" s="8">
        <v>44460.0</v>
      </c>
    </row>
    <row r="47">
      <c r="A47" s="2">
        <v>3.55</v>
      </c>
      <c r="B47" s="2">
        <v>227.0</v>
      </c>
      <c r="C47" s="2">
        <v>784.6</v>
      </c>
      <c r="D47" s="2">
        <v>0.07</v>
      </c>
      <c r="E47" s="2">
        <v>0.97</v>
      </c>
      <c r="F47" s="2">
        <v>50.0</v>
      </c>
      <c r="G47" s="4">
        <v>44460.78665231481</v>
      </c>
      <c r="H47" s="8">
        <v>44460.0</v>
      </c>
    </row>
    <row r="48">
      <c r="A48" s="2">
        <v>3.55</v>
      </c>
      <c r="B48" s="2">
        <v>226.9</v>
      </c>
      <c r="C48" s="2">
        <v>784.7</v>
      </c>
      <c r="D48" s="2">
        <v>0.07</v>
      </c>
      <c r="E48" s="2">
        <v>0.97</v>
      </c>
      <c r="F48" s="2">
        <v>50.0</v>
      </c>
      <c r="G48" s="4">
        <v>44460.786749618055</v>
      </c>
      <c r="H48" s="8">
        <v>44460.0</v>
      </c>
    </row>
    <row r="49">
      <c r="A49" s="2">
        <v>3.55</v>
      </c>
      <c r="B49" s="2">
        <v>227.0</v>
      </c>
      <c r="C49" s="2">
        <v>784.9</v>
      </c>
      <c r="D49" s="2">
        <v>0.07</v>
      </c>
      <c r="E49" s="2">
        <v>0.97</v>
      </c>
      <c r="F49" s="2">
        <v>50.0</v>
      </c>
      <c r="G49" s="4">
        <v>44460.78684806713</v>
      </c>
      <c r="H49" s="8">
        <v>44460.0</v>
      </c>
    </row>
    <row r="50">
      <c r="A50" s="2">
        <v>3.55</v>
      </c>
      <c r="B50" s="2">
        <v>227.0</v>
      </c>
      <c r="C50" s="2">
        <v>785.0</v>
      </c>
      <c r="D50" s="2">
        <v>0.07</v>
      </c>
      <c r="E50" s="2">
        <v>0.97</v>
      </c>
      <c r="F50" s="2">
        <v>50.0</v>
      </c>
      <c r="G50" s="4">
        <v>44460.78694829861</v>
      </c>
      <c r="H50" s="8">
        <v>44460.0</v>
      </c>
    </row>
    <row r="51">
      <c r="A51" s="2">
        <v>3.55</v>
      </c>
      <c r="B51" s="2">
        <v>227.0</v>
      </c>
      <c r="C51" s="2">
        <v>785.0</v>
      </c>
      <c r="D51" s="2">
        <v>0.07</v>
      </c>
      <c r="E51" s="2">
        <v>0.97</v>
      </c>
      <c r="F51" s="2">
        <v>50.0</v>
      </c>
      <c r="G51" s="4">
        <v>44460.78705182871</v>
      </c>
      <c r="H51" s="8">
        <v>44460.0</v>
      </c>
    </row>
    <row r="52">
      <c r="A52" s="2">
        <v>3.55</v>
      </c>
      <c r="B52" s="2">
        <v>226.8</v>
      </c>
      <c r="C52" s="2">
        <v>785.2</v>
      </c>
      <c r="D52" s="2">
        <v>0.08</v>
      </c>
      <c r="E52" s="2">
        <v>0.97</v>
      </c>
      <c r="F52" s="2">
        <v>50.0</v>
      </c>
      <c r="G52" s="4">
        <v>44460.78715096065</v>
      </c>
      <c r="H52" s="8">
        <v>44460.0</v>
      </c>
    </row>
    <row r="53">
      <c r="A53" s="2">
        <v>3.55</v>
      </c>
      <c r="B53" s="2">
        <v>227.1</v>
      </c>
      <c r="C53" s="2">
        <v>785.3</v>
      </c>
      <c r="D53" s="2">
        <v>0.08</v>
      </c>
      <c r="E53" s="2">
        <v>0.97</v>
      </c>
      <c r="F53" s="2">
        <v>50.0</v>
      </c>
      <c r="G53" s="4">
        <v>44460.787249699075</v>
      </c>
      <c r="H53" s="8">
        <v>44460.0</v>
      </c>
    </row>
    <row r="54">
      <c r="A54" s="2">
        <v>3.55</v>
      </c>
      <c r="B54" s="2">
        <v>227.0</v>
      </c>
      <c r="C54" s="2">
        <v>785.5</v>
      </c>
      <c r="D54" s="2">
        <v>0.08</v>
      </c>
      <c r="E54" s="2">
        <v>0.97</v>
      </c>
      <c r="F54" s="2">
        <v>50.0</v>
      </c>
      <c r="G54" s="4">
        <v>44460.78734944444</v>
      </c>
      <c r="H54" s="8">
        <v>44460.0</v>
      </c>
    </row>
    <row r="55">
      <c r="A55" s="2">
        <v>3.55</v>
      </c>
      <c r="B55" s="2">
        <v>227.0</v>
      </c>
      <c r="C55" s="2">
        <v>783.9</v>
      </c>
      <c r="D55" s="2">
        <v>0.08</v>
      </c>
      <c r="E55" s="2">
        <v>0.97</v>
      </c>
      <c r="F55" s="2">
        <v>50.0</v>
      </c>
      <c r="G55" s="4">
        <v>44460.78744561343</v>
      </c>
      <c r="H55" s="8">
        <v>44460.0</v>
      </c>
    </row>
    <row r="56">
      <c r="A56" s="2">
        <v>3.55</v>
      </c>
      <c r="B56" s="2">
        <v>227.0</v>
      </c>
      <c r="C56" s="2">
        <v>784.6</v>
      </c>
      <c r="D56" s="2">
        <v>0.08</v>
      </c>
      <c r="E56" s="2">
        <v>0.97</v>
      </c>
      <c r="F56" s="2">
        <v>50.0</v>
      </c>
      <c r="G56" s="4">
        <v>44460.787550243054</v>
      </c>
      <c r="H56" s="8">
        <v>44460.0</v>
      </c>
    </row>
    <row r="57">
      <c r="A57" s="2">
        <v>3.55</v>
      </c>
      <c r="B57" s="2">
        <v>226.8</v>
      </c>
      <c r="C57" s="2">
        <v>784.8</v>
      </c>
      <c r="D57" s="2">
        <v>0.09</v>
      </c>
      <c r="E57" s="2">
        <v>0.97</v>
      </c>
      <c r="F57" s="2">
        <v>50.0</v>
      </c>
      <c r="G57" s="4">
        <v>44460.78765240741</v>
      </c>
      <c r="H57" s="8">
        <v>44460.0</v>
      </c>
    </row>
    <row r="58">
      <c r="A58" s="2">
        <v>3.55</v>
      </c>
      <c r="B58" s="2">
        <v>226.8</v>
      </c>
      <c r="C58" s="2">
        <v>785.0</v>
      </c>
      <c r="D58" s="2">
        <v>0.09</v>
      </c>
      <c r="E58" s="2">
        <v>0.97</v>
      </c>
      <c r="F58" s="2">
        <v>50.0</v>
      </c>
      <c r="G58" s="4">
        <v>44460.78774972222</v>
      </c>
      <c r="H58" s="8">
        <v>44460.0</v>
      </c>
    </row>
    <row r="59">
      <c r="A59" s="2">
        <v>3.56</v>
      </c>
      <c r="B59" s="2">
        <v>226.6</v>
      </c>
      <c r="C59" s="2">
        <v>785.1</v>
      </c>
      <c r="D59" s="2">
        <v>0.09</v>
      </c>
      <c r="E59" s="2">
        <v>0.97</v>
      </c>
      <c r="F59" s="2">
        <v>50.0</v>
      </c>
      <c r="G59" s="4">
        <v>44460.78784736111</v>
      </c>
      <c r="H59" s="8">
        <v>44460.0</v>
      </c>
    </row>
    <row r="60">
      <c r="A60" s="2">
        <v>3.56</v>
      </c>
      <c r="B60" s="2">
        <v>226.7</v>
      </c>
      <c r="C60" s="2">
        <v>785.2</v>
      </c>
      <c r="D60" s="2">
        <v>0.09</v>
      </c>
      <c r="E60" s="2">
        <v>0.97</v>
      </c>
      <c r="F60" s="2">
        <v>50.0</v>
      </c>
      <c r="G60" s="4">
        <v>44460.787949826394</v>
      </c>
      <c r="H60" s="8">
        <v>44460.0</v>
      </c>
    </row>
    <row r="61">
      <c r="A61" s="2">
        <v>3.56</v>
      </c>
      <c r="B61" s="2">
        <v>226.8</v>
      </c>
      <c r="C61" s="2">
        <v>785.4</v>
      </c>
      <c r="D61" s="2">
        <v>0.09</v>
      </c>
      <c r="E61" s="2">
        <v>0.97</v>
      </c>
      <c r="F61" s="2">
        <v>50.0</v>
      </c>
      <c r="G61" s="4">
        <v>44460.78804743056</v>
      </c>
      <c r="H61" s="8">
        <v>44460.0</v>
      </c>
    </row>
    <row r="62">
      <c r="A62" s="2">
        <v>3.55</v>
      </c>
      <c r="B62" s="2">
        <v>226.9</v>
      </c>
      <c r="C62" s="2">
        <v>785.5</v>
      </c>
      <c r="D62" s="2">
        <v>0.09</v>
      </c>
      <c r="E62" s="2">
        <v>0.97</v>
      </c>
      <c r="F62" s="2">
        <v>50.0</v>
      </c>
      <c r="G62" s="4">
        <v>44460.78814394676</v>
      </c>
      <c r="H62" s="8">
        <v>44460.0</v>
      </c>
    </row>
    <row r="63">
      <c r="A63" s="2">
        <v>3.56</v>
      </c>
      <c r="B63" s="2">
        <v>226.9</v>
      </c>
      <c r="C63" s="2">
        <v>785.7</v>
      </c>
      <c r="D63" s="2">
        <v>0.1</v>
      </c>
      <c r="E63" s="2">
        <v>0.97</v>
      </c>
      <c r="F63" s="2">
        <v>50.0</v>
      </c>
      <c r="G63" s="4">
        <v>44460.788243159725</v>
      </c>
      <c r="H63" s="8">
        <v>44460.0</v>
      </c>
    </row>
    <row r="64">
      <c r="A64" s="2">
        <v>3.56</v>
      </c>
      <c r="B64" s="2">
        <v>226.9</v>
      </c>
      <c r="C64" s="2">
        <v>785.8</v>
      </c>
      <c r="D64" s="2">
        <v>0.1</v>
      </c>
      <c r="E64" s="2">
        <v>0.97</v>
      </c>
      <c r="F64" s="2">
        <v>50.0</v>
      </c>
      <c r="G64" s="4">
        <v>44460.78834571759</v>
      </c>
      <c r="H64" s="8">
        <v>44460.0</v>
      </c>
    </row>
    <row r="65">
      <c r="A65" s="2">
        <v>3.56</v>
      </c>
      <c r="B65" s="2">
        <v>226.9</v>
      </c>
      <c r="C65" s="2">
        <v>785.9</v>
      </c>
      <c r="D65" s="2">
        <v>0.1</v>
      </c>
      <c r="E65" s="2">
        <v>0.97</v>
      </c>
      <c r="F65" s="2">
        <v>50.0</v>
      </c>
      <c r="G65" s="4">
        <v>44460.78844966435</v>
      </c>
      <c r="H65" s="8">
        <v>44460.0</v>
      </c>
    </row>
    <row r="66">
      <c r="A66" s="2">
        <v>3.56</v>
      </c>
      <c r="B66" s="2">
        <v>226.9</v>
      </c>
      <c r="C66" s="2">
        <v>786.0</v>
      </c>
      <c r="D66" s="2">
        <v>0.1</v>
      </c>
      <c r="E66" s="2">
        <v>0.97</v>
      </c>
      <c r="F66" s="2">
        <v>50.0</v>
      </c>
      <c r="G66" s="4">
        <v>44460.788548125</v>
      </c>
      <c r="H66" s="8">
        <v>44460.0</v>
      </c>
    </row>
    <row r="67">
      <c r="A67" s="2">
        <v>3.56</v>
      </c>
      <c r="B67" s="2">
        <v>226.9</v>
      </c>
      <c r="C67" s="2">
        <v>786.2</v>
      </c>
      <c r="D67" s="2">
        <v>0.1</v>
      </c>
      <c r="E67" s="2">
        <v>0.97</v>
      </c>
      <c r="F67" s="2">
        <v>50.0</v>
      </c>
      <c r="G67" s="4">
        <v>44460.78864456018</v>
      </c>
      <c r="H67" s="8">
        <v>44460.0</v>
      </c>
    </row>
    <row r="68">
      <c r="A68" s="2">
        <v>3.56</v>
      </c>
      <c r="B68" s="2">
        <v>226.9</v>
      </c>
      <c r="C68" s="2">
        <v>786.2</v>
      </c>
      <c r="D68" s="2">
        <v>0.11</v>
      </c>
      <c r="E68" s="2">
        <v>0.97</v>
      </c>
      <c r="F68" s="2">
        <v>50.0</v>
      </c>
      <c r="G68" s="4">
        <v>44460.788741111115</v>
      </c>
      <c r="H68" s="8">
        <v>44460.0</v>
      </c>
    </row>
    <row r="69">
      <c r="A69" s="2">
        <v>3.56</v>
      </c>
      <c r="B69" s="2">
        <v>226.8</v>
      </c>
      <c r="C69" s="2">
        <v>786.2</v>
      </c>
      <c r="D69" s="2">
        <v>0.11</v>
      </c>
      <c r="E69" s="2">
        <v>0.97</v>
      </c>
      <c r="F69" s="2">
        <v>50.0</v>
      </c>
      <c r="G69" s="4">
        <v>44460.7888415625</v>
      </c>
      <c r="H69" s="8">
        <v>44460.0</v>
      </c>
    </row>
    <row r="70">
      <c r="A70" s="2">
        <v>3.56</v>
      </c>
      <c r="B70" s="2">
        <v>226.9</v>
      </c>
      <c r="C70" s="2">
        <v>786.9</v>
      </c>
      <c r="D70" s="2">
        <v>0.11</v>
      </c>
      <c r="E70" s="2">
        <v>0.97</v>
      </c>
      <c r="F70" s="2">
        <v>50.0</v>
      </c>
      <c r="G70" s="4">
        <v>44460.78894613426</v>
      </c>
      <c r="H70" s="8">
        <v>44460.0</v>
      </c>
    </row>
    <row r="71">
      <c r="A71" s="2">
        <v>3.56</v>
      </c>
      <c r="B71" s="2">
        <v>227.0</v>
      </c>
      <c r="C71" s="2">
        <v>787.2</v>
      </c>
      <c r="D71" s="2">
        <v>0.11</v>
      </c>
      <c r="E71" s="2">
        <v>0.97</v>
      </c>
      <c r="F71" s="2">
        <v>50.0</v>
      </c>
      <c r="G71" s="4">
        <v>44460.789048923616</v>
      </c>
      <c r="H71" s="8">
        <v>44460.0</v>
      </c>
    </row>
    <row r="72">
      <c r="A72" s="2">
        <v>3.56</v>
      </c>
      <c r="B72" s="2">
        <v>227.0</v>
      </c>
      <c r="C72" s="2">
        <v>786.9</v>
      </c>
      <c r="D72" s="2">
        <v>0.11</v>
      </c>
      <c r="E72" s="2">
        <v>0.97</v>
      </c>
      <c r="F72" s="2">
        <v>50.0</v>
      </c>
      <c r="G72" s="4">
        <v>44460.789148310185</v>
      </c>
      <c r="H72" s="8">
        <v>44460.0</v>
      </c>
    </row>
    <row r="73">
      <c r="A73" s="2">
        <v>3.56</v>
      </c>
      <c r="B73" s="2">
        <v>226.9</v>
      </c>
      <c r="C73" s="2">
        <v>786.5</v>
      </c>
      <c r="D73" s="2">
        <v>0.12</v>
      </c>
      <c r="E73" s="2">
        <v>0.97</v>
      </c>
      <c r="F73" s="2">
        <v>50.0</v>
      </c>
      <c r="G73" s="4">
        <v>44460.789246608794</v>
      </c>
      <c r="H73" s="8">
        <v>44460.0</v>
      </c>
    </row>
    <row r="74">
      <c r="A74" s="2">
        <v>3.56</v>
      </c>
      <c r="B74" s="2">
        <v>227.0</v>
      </c>
      <c r="C74" s="2">
        <v>786.0</v>
      </c>
      <c r="D74" s="2">
        <v>0.12</v>
      </c>
      <c r="E74" s="2">
        <v>0.97</v>
      </c>
      <c r="F74" s="2">
        <v>50.0</v>
      </c>
      <c r="G74" s="4">
        <v>44460.789344351855</v>
      </c>
      <c r="H74" s="8">
        <v>44460.0</v>
      </c>
    </row>
    <row r="75">
      <c r="A75" s="2">
        <v>3.56</v>
      </c>
      <c r="B75" s="2">
        <v>226.9</v>
      </c>
      <c r="C75" s="2">
        <v>786.1</v>
      </c>
      <c r="D75" s="2">
        <v>0.12</v>
      </c>
      <c r="E75" s="2">
        <v>0.97</v>
      </c>
      <c r="F75" s="2">
        <v>50.0</v>
      </c>
      <c r="G75" s="4">
        <v>44460.78944552083</v>
      </c>
      <c r="H75" s="8">
        <v>44460.0</v>
      </c>
    </row>
    <row r="76">
      <c r="A76" s="2">
        <v>3.56</v>
      </c>
      <c r="B76" s="2">
        <v>226.7</v>
      </c>
      <c r="C76" s="2">
        <v>786.3</v>
      </c>
      <c r="D76" s="2">
        <v>0.12</v>
      </c>
      <c r="E76" s="2">
        <v>0.97</v>
      </c>
      <c r="F76" s="2">
        <v>50.0</v>
      </c>
      <c r="G76" s="4">
        <v>44460.78954333333</v>
      </c>
      <c r="H76" s="8">
        <v>44460.0</v>
      </c>
    </row>
    <row r="77">
      <c r="A77" s="2">
        <v>3.56</v>
      </c>
      <c r="B77" s="2">
        <v>226.6</v>
      </c>
      <c r="C77" s="2">
        <v>786.5</v>
      </c>
      <c r="D77" s="2">
        <v>0.12</v>
      </c>
      <c r="E77" s="2">
        <v>0.97</v>
      </c>
      <c r="F77" s="2">
        <v>50.0</v>
      </c>
      <c r="G77" s="4">
        <v>44460.78964444445</v>
      </c>
      <c r="H77" s="8">
        <v>44460.0</v>
      </c>
    </row>
    <row r="78">
      <c r="A78" s="2">
        <v>3.57</v>
      </c>
      <c r="B78" s="2">
        <v>226.5</v>
      </c>
      <c r="C78" s="2">
        <v>786.6</v>
      </c>
      <c r="D78" s="2">
        <v>0.13</v>
      </c>
      <c r="E78" s="2">
        <v>0.97</v>
      </c>
      <c r="F78" s="2">
        <v>49.9</v>
      </c>
      <c r="G78" s="4">
        <v>44460.789742685185</v>
      </c>
      <c r="H78" s="8">
        <v>44460.0</v>
      </c>
    </row>
    <row r="79">
      <c r="A79" s="2">
        <v>3.57</v>
      </c>
      <c r="B79" s="2">
        <v>226.5</v>
      </c>
      <c r="C79" s="2">
        <v>786.9</v>
      </c>
      <c r="D79" s="2">
        <v>0.13</v>
      </c>
      <c r="E79" s="2">
        <v>0.97</v>
      </c>
      <c r="F79" s="2">
        <v>49.9</v>
      </c>
      <c r="G79" s="4">
        <v>44460.78984077546</v>
      </c>
      <c r="H79" s="8">
        <v>44460.0</v>
      </c>
    </row>
    <row r="80">
      <c r="A80" s="2">
        <v>3.57</v>
      </c>
      <c r="B80" s="2">
        <v>226.5</v>
      </c>
      <c r="C80" s="2">
        <v>787.0</v>
      </c>
      <c r="D80" s="2">
        <v>0.13</v>
      </c>
      <c r="E80" s="2">
        <v>0.97</v>
      </c>
      <c r="F80" s="2">
        <v>49.9</v>
      </c>
      <c r="G80" s="4">
        <v>44460.78994189815</v>
      </c>
      <c r="H80" s="8">
        <v>44460.0</v>
      </c>
    </row>
    <row r="81">
      <c r="A81" s="2">
        <v>3.57</v>
      </c>
      <c r="B81" s="2">
        <v>226.5</v>
      </c>
      <c r="C81" s="2">
        <v>787.0</v>
      </c>
      <c r="D81" s="2">
        <v>0.13</v>
      </c>
      <c r="E81" s="2">
        <v>0.97</v>
      </c>
      <c r="F81" s="2">
        <v>50.0</v>
      </c>
      <c r="G81" s="4">
        <v>44460.7900405324</v>
      </c>
      <c r="H81" s="8">
        <v>44460.0</v>
      </c>
    </row>
    <row r="82">
      <c r="A82" s="2">
        <v>3.57</v>
      </c>
      <c r="B82" s="2">
        <v>226.5</v>
      </c>
      <c r="C82" s="2">
        <v>787.2</v>
      </c>
      <c r="D82" s="2">
        <v>0.13</v>
      </c>
      <c r="E82" s="2">
        <v>0.97</v>
      </c>
      <c r="F82" s="2">
        <v>50.0</v>
      </c>
      <c r="G82" s="4">
        <v>44460.79014349537</v>
      </c>
      <c r="H82" s="8">
        <v>44460.0</v>
      </c>
    </row>
    <row r="83">
      <c r="A83" s="2">
        <v>3.57</v>
      </c>
      <c r="B83" s="2">
        <v>226.6</v>
      </c>
      <c r="C83" s="2">
        <v>787.4</v>
      </c>
      <c r="D83" s="2">
        <v>0.14</v>
      </c>
      <c r="E83" s="2">
        <v>0.97</v>
      </c>
      <c r="F83" s="2">
        <v>50.0</v>
      </c>
      <c r="G83" s="4">
        <v>44460.790275266205</v>
      </c>
      <c r="H83" s="8">
        <v>44460.0</v>
      </c>
    </row>
    <row r="84">
      <c r="A84" s="2">
        <v>3.56</v>
      </c>
      <c r="B84" s="2">
        <v>226.7</v>
      </c>
      <c r="C84" s="2">
        <v>786.2</v>
      </c>
      <c r="D84" s="2">
        <v>0.14</v>
      </c>
      <c r="E84" s="2">
        <v>0.97</v>
      </c>
      <c r="F84" s="2">
        <v>50.0</v>
      </c>
      <c r="G84" s="4">
        <v>44460.79038388889</v>
      </c>
      <c r="H84" s="8">
        <v>44460.0</v>
      </c>
    </row>
    <row r="85">
      <c r="A85" s="2">
        <v>3.56</v>
      </c>
      <c r="B85" s="2">
        <v>226.8</v>
      </c>
      <c r="C85" s="2">
        <v>786.2</v>
      </c>
      <c r="D85" s="2">
        <v>0.14</v>
      </c>
      <c r="E85" s="2">
        <v>0.97</v>
      </c>
      <c r="F85" s="2">
        <v>50.0</v>
      </c>
      <c r="G85" s="4">
        <v>44460.79048594907</v>
      </c>
      <c r="H85" s="8">
        <v>44460.0</v>
      </c>
    </row>
    <row r="86">
      <c r="A86" s="2">
        <v>3.56</v>
      </c>
      <c r="B86" s="2">
        <v>226.8</v>
      </c>
      <c r="C86" s="2">
        <v>786.3</v>
      </c>
      <c r="D86" s="2">
        <v>0.14</v>
      </c>
      <c r="E86" s="2">
        <v>0.97</v>
      </c>
      <c r="F86" s="2">
        <v>50.0</v>
      </c>
      <c r="G86" s="4">
        <v>44460.790587048614</v>
      </c>
      <c r="H86" s="8">
        <v>44460.0</v>
      </c>
    </row>
    <row r="87">
      <c r="A87" s="2">
        <v>3.56</v>
      </c>
      <c r="B87" s="2">
        <v>226.8</v>
      </c>
      <c r="C87" s="2">
        <v>786.5</v>
      </c>
      <c r="D87" s="2">
        <v>0.14</v>
      </c>
      <c r="E87" s="2">
        <v>0.97</v>
      </c>
      <c r="F87" s="2">
        <v>50.0</v>
      </c>
      <c r="G87" s="4">
        <v>44460.79068909722</v>
      </c>
      <c r="H87" s="8">
        <v>44460.0</v>
      </c>
    </row>
    <row r="88">
      <c r="A88" s="2">
        <v>3.56</v>
      </c>
      <c r="B88" s="2">
        <v>226.8</v>
      </c>
      <c r="C88" s="2">
        <v>786.5</v>
      </c>
      <c r="D88" s="2">
        <v>0.14</v>
      </c>
      <c r="E88" s="2">
        <v>0.97</v>
      </c>
      <c r="F88" s="2">
        <v>50.0</v>
      </c>
      <c r="G88" s="4">
        <v>44460.79078560185</v>
      </c>
      <c r="H88" s="8">
        <v>44460.0</v>
      </c>
    </row>
    <row r="89">
      <c r="A89" s="2">
        <v>3.56</v>
      </c>
      <c r="B89" s="2">
        <v>226.7</v>
      </c>
      <c r="C89" s="2">
        <v>786.7</v>
      </c>
      <c r="D89" s="2">
        <v>0.15</v>
      </c>
      <c r="E89" s="2">
        <v>0.97</v>
      </c>
      <c r="F89" s="2">
        <v>50.0</v>
      </c>
      <c r="G89" s="4">
        <v>44460.790888159725</v>
      </c>
      <c r="H89" s="8">
        <v>44460.0</v>
      </c>
    </row>
    <row r="90">
      <c r="A90" s="2">
        <v>3.56</v>
      </c>
      <c r="B90" s="2">
        <v>226.7</v>
      </c>
      <c r="C90" s="2">
        <v>786.9</v>
      </c>
      <c r="D90" s="2">
        <v>0.15</v>
      </c>
      <c r="E90" s="2">
        <v>0.97</v>
      </c>
      <c r="F90" s="2">
        <v>50.0</v>
      </c>
      <c r="G90" s="4">
        <v>44460.79099177083</v>
      </c>
      <c r="H90" s="8">
        <v>44460.0</v>
      </c>
    </row>
    <row r="91">
      <c r="A91" s="2">
        <v>3.56</v>
      </c>
      <c r="B91" s="2">
        <v>226.7</v>
      </c>
      <c r="C91" s="2">
        <v>787.0</v>
      </c>
      <c r="D91" s="2">
        <v>0.15</v>
      </c>
      <c r="E91" s="2">
        <v>0.97</v>
      </c>
      <c r="F91" s="2">
        <v>50.0</v>
      </c>
      <c r="G91" s="4">
        <v>44460.7910905787</v>
      </c>
      <c r="H91" s="8">
        <v>44460.0</v>
      </c>
    </row>
    <row r="92">
      <c r="A92" s="2">
        <v>3.56</v>
      </c>
      <c r="B92" s="2">
        <v>226.8</v>
      </c>
      <c r="C92" s="2">
        <v>787.1</v>
      </c>
      <c r="D92" s="2">
        <v>0.15</v>
      </c>
      <c r="E92" s="2">
        <v>0.97</v>
      </c>
      <c r="F92" s="2">
        <v>50.0</v>
      </c>
      <c r="G92" s="4">
        <v>44460.79119188657</v>
      </c>
      <c r="H92" s="8">
        <v>44460.0</v>
      </c>
    </row>
    <row r="93">
      <c r="A93" s="2">
        <v>3.56</v>
      </c>
      <c r="B93" s="2">
        <v>226.9</v>
      </c>
      <c r="C93" s="2">
        <v>787.2</v>
      </c>
      <c r="D93" s="2">
        <v>0.15</v>
      </c>
      <c r="E93" s="2">
        <v>0.97</v>
      </c>
      <c r="F93" s="2">
        <v>50.0</v>
      </c>
      <c r="G93" s="4">
        <v>44460.79129936342</v>
      </c>
      <c r="H93" s="8">
        <v>44460.0</v>
      </c>
    </row>
    <row r="94">
      <c r="A94" s="2">
        <v>3.56</v>
      </c>
      <c r="B94" s="2">
        <v>226.9</v>
      </c>
      <c r="C94" s="2">
        <v>787.3</v>
      </c>
      <c r="D94" s="2">
        <v>0.16</v>
      </c>
      <c r="E94" s="2">
        <v>0.97</v>
      </c>
      <c r="F94" s="2">
        <v>50.0</v>
      </c>
      <c r="G94" s="4">
        <v>44460.79140178241</v>
      </c>
      <c r="H94" s="8">
        <v>44460.0</v>
      </c>
    </row>
    <row r="95">
      <c r="A95" s="2">
        <v>3.57</v>
      </c>
      <c r="B95" s="2">
        <v>226.8</v>
      </c>
      <c r="C95" s="2">
        <v>787.5</v>
      </c>
      <c r="D95" s="2">
        <v>0.16</v>
      </c>
      <c r="E95" s="2">
        <v>0.97</v>
      </c>
      <c r="F95" s="2">
        <v>50.0</v>
      </c>
      <c r="G95" s="4">
        <v>44460.79149761574</v>
      </c>
      <c r="H95" s="8">
        <v>44460.0</v>
      </c>
    </row>
    <row r="96">
      <c r="A96" s="2">
        <v>3.57</v>
      </c>
      <c r="B96" s="2">
        <v>226.7</v>
      </c>
      <c r="C96" s="2">
        <v>788.3</v>
      </c>
      <c r="D96" s="2">
        <v>0.16</v>
      </c>
      <c r="E96" s="2">
        <v>0.97</v>
      </c>
      <c r="F96" s="2">
        <v>50.0</v>
      </c>
      <c r="G96" s="4">
        <v>44460.79159497685</v>
      </c>
      <c r="H96" s="8">
        <v>44460.0</v>
      </c>
    </row>
    <row r="97">
      <c r="A97" s="2">
        <v>3.57</v>
      </c>
      <c r="B97" s="2">
        <v>226.6</v>
      </c>
      <c r="C97" s="2">
        <v>788.4</v>
      </c>
      <c r="D97" s="2">
        <v>0.16</v>
      </c>
      <c r="E97" s="2">
        <v>0.97</v>
      </c>
      <c r="F97" s="2">
        <v>50.0</v>
      </c>
      <c r="G97" s="4">
        <v>44460.79169215278</v>
      </c>
      <c r="H97" s="8">
        <v>44460.0</v>
      </c>
    </row>
    <row r="98">
      <c r="A98" s="2">
        <v>3.57</v>
      </c>
      <c r="B98" s="2">
        <v>226.5</v>
      </c>
      <c r="C98" s="2">
        <v>788.6</v>
      </c>
      <c r="D98" s="2">
        <v>0.16</v>
      </c>
      <c r="E98" s="2">
        <v>0.97</v>
      </c>
      <c r="F98" s="2">
        <v>50.0</v>
      </c>
      <c r="G98" s="4">
        <v>44460.79179069445</v>
      </c>
      <c r="H98" s="8">
        <v>44460.0</v>
      </c>
    </row>
    <row r="99">
      <c r="A99" s="2">
        <v>3.58</v>
      </c>
      <c r="B99" s="2">
        <v>226.5</v>
      </c>
      <c r="C99" s="2">
        <v>788.6</v>
      </c>
      <c r="D99" s="2">
        <v>0.17</v>
      </c>
      <c r="E99" s="2">
        <v>0.97</v>
      </c>
      <c r="F99" s="2">
        <v>49.9</v>
      </c>
      <c r="G99" s="4">
        <v>44460.791886631945</v>
      </c>
      <c r="H99" s="8">
        <v>44460.0</v>
      </c>
    </row>
    <row r="100">
      <c r="A100" s="2">
        <v>3.58</v>
      </c>
      <c r="B100" s="2">
        <v>226.5</v>
      </c>
      <c r="C100" s="2">
        <v>788.8</v>
      </c>
      <c r="D100" s="2">
        <v>0.17</v>
      </c>
      <c r="E100" s="2">
        <v>0.97</v>
      </c>
      <c r="F100" s="2">
        <v>50.0</v>
      </c>
      <c r="G100" s="4">
        <v>44460.79198322917</v>
      </c>
      <c r="H100" s="8">
        <v>44460.0</v>
      </c>
    </row>
    <row r="101">
      <c r="A101" s="2">
        <v>3.58</v>
      </c>
      <c r="B101" s="2">
        <v>226.5</v>
      </c>
      <c r="C101" s="2">
        <v>788.9</v>
      </c>
      <c r="D101" s="2">
        <v>0.17</v>
      </c>
      <c r="E101" s="2">
        <v>0.97</v>
      </c>
      <c r="F101" s="2">
        <v>49.9</v>
      </c>
      <c r="G101" s="4">
        <v>44460.79208092592</v>
      </c>
      <c r="H101" s="8">
        <v>44460.0</v>
      </c>
    </row>
    <row r="102">
      <c r="A102" s="2">
        <v>3.58</v>
      </c>
      <c r="B102" s="2">
        <v>226.5</v>
      </c>
      <c r="C102" s="2">
        <v>789.0</v>
      </c>
      <c r="D102" s="2">
        <v>0.17</v>
      </c>
      <c r="E102" s="2">
        <v>0.97</v>
      </c>
      <c r="F102" s="2">
        <v>49.9</v>
      </c>
      <c r="G102" s="4">
        <v>44460.79218304398</v>
      </c>
      <c r="H102" s="8">
        <v>44460.0</v>
      </c>
    </row>
    <row r="103">
      <c r="A103" s="2">
        <v>3.57</v>
      </c>
      <c r="B103" s="2">
        <v>226.7</v>
      </c>
      <c r="C103" s="2">
        <v>789.1</v>
      </c>
      <c r="D103" s="2">
        <v>0.17</v>
      </c>
      <c r="E103" s="2">
        <v>0.97</v>
      </c>
      <c r="F103" s="2">
        <v>49.9</v>
      </c>
      <c r="G103" s="4">
        <v>44460.792282800925</v>
      </c>
      <c r="H103" s="8">
        <v>44460.0</v>
      </c>
    </row>
    <row r="104">
      <c r="A104" s="2">
        <v>3.57</v>
      </c>
      <c r="B104" s="2">
        <v>226.7</v>
      </c>
      <c r="C104" s="2">
        <v>789.2</v>
      </c>
      <c r="D104" s="2">
        <v>0.17</v>
      </c>
      <c r="E104" s="2">
        <v>0.97</v>
      </c>
      <c r="F104" s="2">
        <v>50.0</v>
      </c>
      <c r="G104" s="4">
        <v>44460.792402824074</v>
      </c>
      <c r="H104" s="8">
        <v>44460.0</v>
      </c>
    </row>
    <row r="105">
      <c r="A105" s="2">
        <v>3.57</v>
      </c>
      <c r="B105" s="2">
        <v>226.8</v>
      </c>
      <c r="C105" s="2">
        <v>789.4</v>
      </c>
      <c r="D105" s="2">
        <v>0.18</v>
      </c>
      <c r="E105" s="2">
        <v>0.97</v>
      </c>
      <c r="F105" s="2">
        <v>50.0</v>
      </c>
      <c r="G105" s="4">
        <v>44460.79250298611</v>
      </c>
      <c r="H105" s="8">
        <v>44460.0</v>
      </c>
    </row>
    <row r="106">
      <c r="A106" s="2">
        <v>3.57</v>
      </c>
      <c r="B106" s="2">
        <v>226.8</v>
      </c>
      <c r="C106" s="2">
        <v>789.5</v>
      </c>
      <c r="D106" s="2">
        <v>0.18</v>
      </c>
      <c r="E106" s="2">
        <v>0.97</v>
      </c>
      <c r="F106" s="2">
        <v>50.0</v>
      </c>
      <c r="G106" s="4">
        <v>44460.79259996528</v>
      </c>
      <c r="H106" s="8">
        <v>44460.0</v>
      </c>
    </row>
    <row r="107">
      <c r="A107" s="2">
        <v>3.57</v>
      </c>
      <c r="B107" s="2">
        <v>226.9</v>
      </c>
      <c r="C107" s="2">
        <v>789.6</v>
      </c>
      <c r="D107" s="2">
        <v>0.18</v>
      </c>
      <c r="E107" s="2">
        <v>0.97</v>
      </c>
      <c r="F107" s="2">
        <v>50.0</v>
      </c>
      <c r="G107" s="4">
        <v>44460.79269716435</v>
      </c>
      <c r="H107" s="8">
        <v>44460.0</v>
      </c>
    </row>
    <row r="108">
      <c r="A108" s="2">
        <v>3.57</v>
      </c>
      <c r="B108" s="2">
        <v>227.0</v>
      </c>
      <c r="C108" s="2">
        <v>789.7</v>
      </c>
      <c r="D108" s="2">
        <v>0.18</v>
      </c>
      <c r="E108" s="2">
        <v>0.97</v>
      </c>
      <c r="F108" s="2">
        <v>50.0</v>
      </c>
      <c r="G108" s="4">
        <v>44460.79279414352</v>
      </c>
      <c r="H108" s="8">
        <v>44460.0</v>
      </c>
    </row>
    <row r="109">
      <c r="A109" s="2">
        <v>3.57</v>
      </c>
      <c r="B109" s="2">
        <v>226.9</v>
      </c>
      <c r="C109" s="2">
        <v>789.7</v>
      </c>
      <c r="D109" s="2">
        <v>0.18</v>
      </c>
      <c r="E109" s="2">
        <v>0.97</v>
      </c>
      <c r="F109" s="2">
        <v>50.0</v>
      </c>
      <c r="G109" s="4">
        <v>44460.79288986111</v>
      </c>
      <c r="H109" s="8">
        <v>44460.0</v>
      </c>
    </row>
    <row r="110">
      <c r="A110" s="2">
        <v>3.58</v>
      </c>
      <c r="B110" s="2">
        <v>226.8</v>
      </c>
      <c r="C110" s="2">
        <v>789.9</v>
      </c>
      <c r="D110" s="2">
        <v>0.19</v>
      </c>
      <c r="E110" s="2">
        <v>0.97</v>
      </c>
      <c r="F110" s="2">
        <v>50.0</v>
      </c>
      <c r="G110" s="4">
        <v>44460.792986064815</v>
      </c>
      <c r="H110" s="8">
        <v>44460.0</v>
      </c>
    </row>
    <row r="111">
      <c r="A111" s="2">
        <v>3.58</v>
      </c>
      <c r="B111" s="2">
        <v>226.9</v>
      </c>
      <c r="C111" s="2">
        <v>789.9</v>
      </c>
      <c r="D111" s="2">
        <v>0.19</v>
      </c>
      <c r="E111" s="2">
        <v>0.97</v>
      </c>
      <c r="F111" s="2">
        <v>50.0</v>
      </c>
      <c r="G111" s="4">
        <v>44460.79308290509</v>
      </c>
      <c r="H111" s="8">
        <v>44460.0</v>
      </c>
    </row>
    <row r="112">
      <c r="A112" s="2">
        <v>3.58</v>
      </c>
      <c r="B112" s="2">
        <v>226.8</v>
      </c>
      <c r="C112" s="2">
        <v>790.0</v>
      </c>
      <c r="D112" s="2">
        <v>0.19</v>
      </c>
      <c r="E112" s="2">
        <v>0.97</v>
      </c>
      <c r="F112" s="2">
        <v>50.0</v>
      </c>
      <c r="G112" s="4">
        <v>44460.79317953704</v>
      </c>
      <c r="H112" s="8">
        <v>44460.0</v>
      </c>
    </row>
    <row r="113">
      <c r="A113" s="2">
        <v>3.58</v>
      </c>
      <c r="B113" s="2">
        <v>226.7</v>
      </c>
      <c r="C113" s="2">
        <v>790.1</v>
      </c>
      <c r="D113" s="2">
        <v>0.19</v>
      </c>
      <c r="E113" s="2">
        <v>0.97</v>
      </c>
      <c r="F113" s="2">
        <v>50.0</v>
      </c>
      <c r="G113" s="4">
        <v>44460.79327559027</v>
      </c>
      <c r="H113" s="8">
        <v>44460.0</v>
      </c>
    </row>
    <row r="114">
      <c r="A114" s="2">
        <v>3.58</v>
      </c>
      <c r="B114" s="2">
        <v>226.8</v>
      </c>
      <c r="C114" s="2">
        <v>790.1</v>
      </c>
      <c r="D114" s="2">
        <v>0.19</v>
      </c>
      <c r="E114" s="2">
        <v>0.97</v>
      </c>
      <c r="F114" s="2">
        <v>50.0</v>
      </c>
      <c r="G114" s="4">
        <v>44460.793373125</v>
      </c>
      <c r="H114" s="8">
        <v>44460.0</v>
      </c>
    </row>
    <row r="115">
      <c r="A115" s="2">
        <v>3.58</v>
      </c>
      <c r="B115" s="2">
        <v>226.8</v>
      </c>
      <c r="C115" s="2">
        <v>790.3</v>
      </c>
      <c r="D115" s="2">
        <v>0.19</v>
      </c>
      <c r="E115" s="2">
        <v>0.97</v>
      </c>
      <c r="F115" s="2">
        <v>49.9</v>
      </c>
      <c r="G115" s="4">
        <v>44460.79347275463</v>
      </c>
      <c r="H115" s="8">
        <v>44460.0</v>
      </c>
    </row>
    <row r="116">
      <c r="A116" s="2">
        <v>3.58</v>
      </c>
      <c r="B116" s="2">
        <v>226.8</v>
      </c>
      <c r="C116" s="2">
        <v>790.4</v>
      </c>
      <c r="D116" s="2">
        <v>0.2</v>
      </c>
      <c r="E116" s="2">
        <v>0.97</v>
      </c>
      <c r="F116" s="2">
        <v>49.9</v>
      </c>
      <c r="G116" s="4">
        <v>44460.793569270834</v>
      </c>
      <c r="H116" s="8">
        <v>44460.0</v>
      </c>
    </row>
    <row r="117">
      <c r="A117" s="2">
        <v>3.58</v>
      </c>
      <c r="B117" s="2">
        <v>226.8</v>
      </c>
      <c r="C117" s="2">
        <v>790.5</v>
      </c>
      <c r="D117" s="2">
        <v>0.2</v>
      </c>
      <c r="E117" s="2">
        <v>0.97</v>
      </c>
      <c r="F117" s="2">
        <v>49.9</v>
      </c>
      <c r="G117" s="4">
        <v>44460.793670266205</v>
      </c>
      <c r="H117" s="8">
        <v>44460.0</v>
      </c>
    </row>
    <row r="118">
      <c r="A118" s="2">
        <v>3.58</v>
      </c>
      <c r="B118" s="2">
        <v>227.0</v>
      </c>
      <c r="C118" s="2">
        <v>790.6</v>
      </c>
      <c r="D118" s="2">
        <v>0.2</v>
      </c>
      <c r="E118" s="2">
        <v>0.97</v>
      </c>
      <c r="F118" s="2">
        <v>49.9</v>
      </c>
      <c r="G118" s="4">
        <v>44460.79377287037</v>
      </c>
      <c r="H118" s="8">
        <v>44460.0</v>
      </c>
    </row>
    <row r="119">
      <c r="A119" s="2">
        <v>3.58</v>
      </c>
      <c r="B119" s="2">
        <v>227.0</v>
      </c>
      <c r="C119" s="2">
        <v>790.6</v>
      </c>
      <c r="D119" s="2">
        <v>0.2</v>
      </c>
      <c r="E119" s="2">
        <v>0.97</v>
      </c>
      <c r="F119" s="2">
        <v>50.0</v>
      </c>
      <c r="G119" s="4">
        <v>44460.79387081019</v>
      </c>
      <c r="H119" s="8">
        <v>44460.0</v>
      </c>
    </row>
    <row r="120">
      <c r="A120" s="2">
        <v>3.58</v>
      </c>
      <c r="B120" s="2">
        <v>227.0</v>
      </c>
      <c r="C120" s="2">
        <v>790.7</v>
      </c>
      <c r="D120" s="2">
        <v>0.2</v>
      </c>
      <c r="E120" s="2">
        <v>0.97</v>
      </c>
      <c r="F120" s="2">
        <v>50.0</v>
      </c>
      <c r="G120" s="4">
        <v>44460.79396769676</v>
      </c>
      <c r="H120" s="8">
        <v>44460.0</v>
      </c>
    </row>
    <row r="121">
      <c r="A121" s="2">
        <v>3.58</v>
      </c>
      <c r="B121" s="2">
        <v>227.0</v>
      </c>
      <c r="C121" s="2">
        <v>790.8</v>
      </c>
      <c r="D121" s="2">
        <v>0.21</v>
      </c>
      <c r="E121" s="2">
        <v>0.97</v>
      </c>
      <c r="F121" s="2">
        <v>50.0</v>
      </c>
      <c r="G121" s="4">
        <v>44460.79406512732</v>
      </c>
      <c r="H121" s="8">
        <v>44460.0</v>
      </c>
    </row>
    <row r="122">
      <c r="A122" s="2">
        <v>3.58</v>
      </c>
      <c r="B122" s="2">
        <v>227.1</v>
      </c>
      <c r="C122" s="2">
        <v>790.9</v>
      </c>
      <c r="D122" s="2">
        <v>0.21</v>
      </c>
      <c r="E122" s="2">
        <v>0.97</v>
      </c>
      <c r="F122" s="2">
        <v>50.0</v>
      </c>
      <c r="G122" s="4">
        <v>44460.79416282407</v>
      </c>
      <c r="H122" s="8">
        <v>44460.0</v>
      </c>
    </row>
    <row r="123">
      <c r="A123" s="2">
        <v>3.58</v>
      </c>
      <c r="B123" s="2">
        <v>227.2</v>
      </c>
      <c r="C123" s="2">
        <v>791.0</v>
      </c>
      <c r="D123" s="2">
        <v>0.21</v>
      </c>
      <c r="E123" s="2">
        <v>0.97</v>
      </c>
      <c r="F123" s="2">
        <v>50.0</v>
      </c>
      <c r="G123" s="4">
        <v>44460.7942634375</v>
      </c>
      <c r="H123" s="8">
        <v>44460.0</v>
      </c>
    </row>
    <row r="124">
      <c r="A124" s="2">
        <v>3.58</v>
      </c>
      <c r="B124" s="2">
        <v>227.1</v>
      </c>
      <c r="C124" s="2">
        <v>791.1</v>
      </c>
      <c r="D124" s="2">
        <v>0.21</v>
      </c>
      <c r="E124" s="2">
        <v>0.97</v>
      </c>
      <c r="F124" s="2">
        <v>50.0</v>
      </c>
      <c r="G124" s="4">
        <v>44460.79436688658</v>
      </c>
      <c r="H124" s="8">
        <v>44460.0</v>
      </c>
    </row>
    <row r="125">
      <c r="A125" s="2">
        <v>3.58</v>
      </c>
      <c r="B125" s="2">
        <v>227.2</v>
      </c>
      <c r="C125" s="2">
        <v>791.2</v>
      </c>
      <c r="D125" s="2">
        <v>0.21</v>
      </c>
      <c r="E125" s="2">
        <v>0.97</v>
      </c>
      <c r="F125" s="2">
        <v>50.0</v>
      </c>
      <c r="G125" s="4">
        <v>44460.7944702199</v>
      </c>
      <c r="H125" s="8">
        <v>44460.0</v>
      </c>
    </row>
    <row r="126">
      <c r="A126" s="2">
        <v>3.58</v>
      </c>
      <c r="B126" s="2">
        <v>227.2</v>
      </c>
      <c r="C126" s="2">
        <v>791.2</v>
      </c>
      <c r="D126" s="2">
        <v>0.22</v>
      </c>
      <c r="E126" s="2">
        <v>0.97</v>
      </c>
      <c r="F126" s="2">
        <v>50.0</v>
      </c>
      <c r="G126" s="4">
        <v>44460.79457064815</v>
      </c>
      <c r="H126" s="8">
        <v>44460.0</v>
      </c>
    </row>
    <row r="127">
      <c r="A127" s="2">
        <v>3.58</v>
      </c>
      <c r="B127" s="2">
        <v>227.3</v>
      </c>
      <c r="C127" s="2">
        <v>791.3</v>
      </c>
      <c r="D127" s="2">
        <v>0.22</v>
      </c>
      <c r="E127" s="2">
        <v>0.97</v>
      </c>
      <c r="F127" s="2">
        <v>50.0</v>
      </c>
      <c r="G127" s="4">
        <v>44460.79466961806</v>
      </c>
      <c r="H127" s="8">
        <v>44460.0</v>
      </c>
    </row>
    <row r="128">
      <c r="A128" s="2">
        <v>3.58</v>
      </c>
      <c r="B128" s="2">
        <v>227.3</v>
      </c>
      <c r="C128" s="2">
        <v>791.4</v>
      </c>
      <c r="D128" s="2">
        <v>0.22</v>
      </c>
      <c r="E128" s="2">
        <v>0.97</v>
      </c>
      <c r="F128" s="2">
        <v>50.0</v>
      </c>
      <c r="G128" s="4">
        <v>44460.7947658912</v>
      </c>
      <c r="H128" s="8">
        <v>44460.0</v>
      </c>
    </row>
    <row r="129">
      <c r="A129" s="2">
        <v>3.58</v>
      </c>
      <c r="B129" s="2">
        <v>227.3</v>
      </c>
      <c r="C129" s="2">
        <v>791.5</v>
      </c>
      <c r="D129" s="2">
        <v>0.22</v>
      </c>
      <c r="E129" s="2">
        <v>0.97</v>
      </c>
      <c r="F129" s="2">
        <v>50.0</v>
      </c>
      <c r="G129" s="4">
        <v>44460.79486233796</v>
      </c>
      <c r="H129" s="8">
        <v>44460.0</v>
      </c>
    </row>
    <row r="130">
      <c r="A130" s="2">
        <v>3.58</v>
      </c>
      <c r="B130" s="2">
        <v>227.2</v>
      </c>
      <c r="C130" s="2">
        <v>791.6</v>
      </c>
      <c r="D130" s="2">
        <v>0.22</v>
      </c>
      <c r="E130" s="2">
        <v>0.97</v>
      </c>
      <c r="F130" s="2">
        <v>50.0</v>
      </c>
      <c r="G130" s="4">
        <v>44460.79495939815</v>
      </c>
      <c r="H130" s="8">
        <v>44460.0</v>
      </c>
    </row>
    <row r="131">
      <c r="A131" s="2">
        <v>3.58</v>
      </c>
      <c r="B131" s="2">
        <v>227.2</v>
      </c>
      <c r="C131" s="2">
        <v>791.6</v>
      </c>
      <c r="D131" s="2">
        <v>0.22</v>
      </c>
      <c r="E131" s="2">
        <v>0.97</v>
      </c>
      <c r="F131" s="2">
        <v>50.0</v>
      </c>
      <c r="G131" s="4">
        <v>44460.79506362269</v>
      </c>
      <c r="H131" s="8">
        <v>44460.0</v>
      </c>
    </row>
    <row r="132">
      <c r="A132" s="2">
        <v>3.58</v>
      </c>
      <c r="B132" s="2">
        <v>227.2</v>
      </c>
      <c r="C132" s="2">
        <v>791.8</v>
      </c>
      <c r="D132" s="2">
        <v>0.23</v>
      </c>
      <c r="E132" s="2">
        <v>0.97</v>
      </c>
      <c r="F132" s="2">
        <v>50.0</v>
      </c>
      <c r="G132" s="4">
        <v>44460.795170011574</v>
      </c>
      <c r="H132" s="8">
        <v>44460.0</v>
      </c>
    </row>
    <row r="133">
      <c r="A133" s="2">
        <v>3.58</v>
      </c>
      <c r="B133" s="2">
        <v>227.2</v>
      </c>
      <c r="C133" s="2">
        <v>791.9</v>
      </c>
      <c r="D133" s="2">
        <v>0.23</v>
      </c>
      <c r="E133" s="2">
        <v>0.97</v>
      </c>
      <c r="F133" s="2">
        <v>50.0</v>
      </c>
      <c r="G133" s="4">
        <v>44460.79527284722</v>
      </c>
      <c r="H133" s="8">
        <v>44460.0</v>
      </c>
    </row>
    <row r="134">
      <c r="A134" s="2">
        <v>3.58</v>
      </c>
      <c r="B134" s="2">
        <v>227.2</v>
      </c>
      <c r="C134" s="2">
        <v>791.9</v>
      </c>
      <c r="D134" s="2">
        <v>0.23</v>
      </c>
      <c r="E134" s="2">
        <v>0.97</v>
      </c>
      <c r="F134" s="2">
        <v>50.0</v>
      </c>
      <c r="G134" s="4">
        <v>44460.79536907407</v>
      </c>
      <c r="H134" s="8">
        <v>44460.0</v>
      </c>
    </row>
    <row r="135">
      <c r="A135" s="2">
        <v>3.58</v>
      </c>
      <c r="B135" s="2">
        <v>227.3</v>
      </c>
      <c r="C135" s="2">
        <v>792.0</v>
      </c>
      <c r="D135" s="2">
        <v>0.23</v>
      </c>
      <c r="E135" s="2">
        <v>0.97</v>
      </c>
      <c r="F135" s="2">
        <v>50.0</v>
      </c>
      <c r="G135" s="4">
        <v>44460.79546576389</v>
      </c>
      <c r="H135" s="8">
        <v>44460.0</v>
      </c>
    </row>
    <row r="136">
      <c r="A136" s="2">
        <v>3.58</v>
      </c>
      <c r="B136" s="2">
        <v>227.3</v>
      </c>
      <c r="C136" s="2">
        <v>792.0</v>
      </c>
      <c r="D136" s="2">
        <v>0.23</v>
      </c>
      <c r="E136" s="2">
        <v>0.97</v>
      </c>
      <c r="F136" s="2">
        <v>50.0</v>
      </c>
      <c r="G136" s="4">
        <v>44460.79556263889</v>
      </c>
      <c r="H136" s="8">
        <v>44460.0</v>
      </c>
    </row>
    <row r="137">
      <c r="A137" s="2">
        <v>3.58</v>
      </c>
      <c r="B137" s="2">
        <v>227.2</v>
      </c>
      <c r="C137" s="2">
        <v>792.1</v>
      </c>
      <c r="D137" s="2">
        <v>0.24</v>
      </c>
      <c r="E137" s="2">
        <v>0.97</v>
      </c>
      <c r="F137" s="2">
        <v>50.0</v>
      </c>
      <c r="G137" s="4">
        <v>44460.795658703704</v>
      </c>
      <c r="H137" s="8">
        <v>44460.0</v>
      </c>
    </row>
    <row r="138">
      <c r="A138" s="2">
        <v>3.58</v>
      </c>
      <c r="B138" s="2">
        <v>227.2</v>
      </c>
      <c r="C138" s="2">
        <v>792.2</v>
      </c>
      <c r="D138" s="2">
        <v>0.24</v>
      </c>
      <c r="E138" s="2">
        <v>0.97</v>
      </c>
      <c r="F138" s="2">
        <v>50.0</v>
      </c>
      <c r="G138" s="4">
        <v>44460.79575440972</v>
      </c>
      <c r="H138" s="8">
        <v>44460.0</v>
      </c>
    </row>
    <row r="139">
      <c r="A139" s="2">
        <v>3.58</v>
      </c>
      <c r="B139" s="2">
        <v>227.2</v>
      </c>
      <c r="C139" s="2">
        <v>792.3</v>
      </c>
      <c r="D139" s="2">
        <v>0.24</v>
      </c>
      <c r="E139" s="2">
        <v>0.97</v>
      </c>
      <c r="F139" s="2">
        <v>49.9</v>
      </c>
      <c r="G139" s="4">
        <v>44460.79585523148</v>
      </c>
      <c r="H139" s="8">
        <v>44460.0</v>
      </c>
    </row>
    <row r="140">
      <c r="A140" s="2">
        <v>3.58</v>
      </c>
      <c r="B140" s="2">
        <v>227.2</v>
      </c>
      <c r="C140" s="2">
        <v>792.4</v>
      </c>
      <c r="D140" s="2">
        <v>0.24</v>
      </c>
      <c r="E140" s="2">
        <v>0.97</v>
      </c>
      <c r="F140" s="2">
        <v>49.9</v>
      </c>
      <c r="G140" s="4">
        <v>44460.79595672454</v>
      </c>
      <c r="H140" s="8">
        <v>44460.0</v>
      </c>
    </row>
    <row r="141">
      <c r="A141" s="2">
        <v>3.58</v>
      </c>
      <c r="B141" s="2">
        <v>227.2</v>
      </c>
      <c r="C141" s="2">
        <v>792.4</v>
      </c>
      <c r="D141" s="2">
        <v>0.24</v>
      </c>
      <c r="E141" s="2">
        <v>0.97</v>
      </c>
      <c r="F141" s="2">
        <v>50.0</v>
      </c>
      <c r="G141" s="4">
        <v>44460.79605457176</v>
      </c>
      <c r="H141" s="8">
        <v>44460.0</v>
      </c>
    </row>
    <row r="142">
      <c r="A142" s="2">
        <v>3.58</v>
      </c>
      <c r="B142" s="2">
        <v>227.1</v>
      </c>
      <c r="C142" s="2">
        <v>792.6</v>
      </c>
      <c r="D142" s="2">
        <v>0.25</v>
      </c>
      <c r="E142" s="2">
        <v>0.97</v>
      </c>
      <c r="F142" s="2">
        <v>50.0</v>
      </c>
      <c r="G142" s="4">
        <v>44460.79615516204</v>
      </c>
      <c r="H142" s="8">
        <v>44460.0</v>
      </c>
    </row>
    <row r="143">
      <c r="A143" s="2">
        <v>3.59</v>
      </c>
      <c r="B143" s="2">
        <v>226.7</v>
      </c>
      <c r="C143" s="2">
        <v>792.7</v>
      </c>
      <c r="D143" s="2">
        <v>0.25</v>
      </c>
      <c r="E143" s="2">
        <v>0.97</v>
      </c>
      <c r="F143" s="2">
        <v>50.0</v>
      </c>
      <c r="G143" s="4">
        <v>44460.79625517361</v>
      </c>
      <c r="H143" s="8">
        <v>44460.0</v>
      </c>
    </row>
    <row r="144">
      <c r="A144" s="2">
        <v>3.59</v>
      </c>
      <c r="B144" s="2">
        <v>226.9</v>
      </c>
      <c r="C144" s="2">
        <v>792.6</v>
      </c>
      <c r="D144" s="2">
        <v>0.25</v>
      </c>
      <c r="E144" s="2">
        <v>0.97</v>
      </c>
      <c r="F144" s="2">
        <v>50.0</v>
      </c>
      <c r="G144" s="4">
        <v>44460.79635331019</v>
      </c>
      <c r="H144" s="8">
        <v>44460.0</v>
      </c>
    </row>
    <row r="145">
      <c r="A145" s="2">
        <v>3.59</v>
      </c>
      <c r="B145" s="2">
        <v>227.0</v>
      </c>
      <c r="C145" s="2">
        <v>792.7</v>
      </c>
      <c r="D145" s="2">
        <v>0.25</v>
      </c>
      <c r="E145" s="2">
        <v>0.97</v>
      </c>
      <c r="F145" s="2">
        <v>50.0</v>
      </c>
      <c r="G145" s="4">
        <v>44460.796452905095</v>
      </c>
      <c r="H145" s="8">
        <v>44460.0</v>
      </c>
    </row>
    <row r="146">
      <c r="A146" s="2">
        <v>3.59</v>
      </c>
      <c r="B146" s="2">
        <v>227.0</v>
      </c>
      <c r="C146" s="2">
        <v>792.8</v>
      </c>
      <c r="D146" s="2">
        <v>0.25</v>
      </c>
      <c r="E146" s="2">
        <v>0.97</v>
      </c>
      <c r="F146" s="2">
        <v>50.0</v>
      </c>
      <c r="G146" s="4">
        <v>44460.7965531713</v>
      </c>
      <c r="H146" s="8">
        <v>44460.0</v>
      </c>
    </row>
    <row r="147">
      <c r="A147" s="2">
        <v>3.59</v>
      </c>
      <c r="B147" s="2">
        <v>227.0</v>
      </c>
      <c r="C147" s="2">
        <v>792.8</v>
      </c>
      <c r="D147" s="2">
        <v>0.26</v>
      </c>
      <c r="E147" s="2">
        <v>0.97</v>
      </c>
      <c r="F147" s="2">
        <v>50.0</v>
      </c>
      <c r="G147" s="4">
        <v>44460.796651296296</v>
      </c>
      <c r="H147" s="8">
        <v>44460.0</v>
      </c>
    </row>
    <row r="148">
      <c r="A148" s="2">
        <v>3.59</v>
      </c>
      <c r="B148" s="2">
        <v>227.0</v>
      </c>
      <c r="C148" s="2">
        <v>792.9</v>
      </c>
      <c r="D148" s="2">
        <v>0.26</v>
      </c>
      <c r="E148" s="2">
        <v>0.97</v>
      </c>
      <c r="F148" s="2">
        <v>50.0</v>
      </c>
      <c r="G148" s="4">
        <v>44460.79675171296</v>
      </c>
      <c r="H148" s="8">
        <v>44460.0</v>
      </c>
    </row>
    <row r="149">
      <c r="A149" s="2">
        <v>3.59</v>
      </c>
      <c r="B149" s="2">
        <v>227.0</v>
      </c>
      <c r="C149" s="2">
        <v>793.0</v>
      </c>
      <c r="D149" s="2">
        <v>0.26</v>
      </c>
      <c r="E149" s="2">
        <v>0.97</v>
      </c>
      <c r="F149" s="2">
        <v>50.0</v>
      </c>
      <c r="G149" s="4">
        <v>44460.796846909725</v>
      </c>
      <c r="H149" s="8">
        <v>44460.0</v>
      </c>
    </row>
    <row r="150">
      <c r="A150" s="2">
        <v>3.59</v>
      </c>
      <c r="B150" s="2">
        <v>227.1</v>
      </c>
      <c r="C150" s="2">
        <v>793.1</v>
      </c>
      <c r="D150" s="2">
        <v>0.26</v>
      </c>
      <c r="E150" s="2">
        <v>0.97</v>
      </c>
      <c r="F150" s="2">
        <v>50.0</v>
      </c>
      <c r="G150" s="4">
        <v>44460.7969440625</v>
      </c>
      <c r="H150" s="8">
        <v>44460.0</v>
      </c>
    </row>
    <row r="151">
      <c r="A151" s="2">
        <v>3.59</v>
      </c>
      <c r="B151" s="2">
        <v>227.1</v>
      </c>
      <c r="C151" s="2">
        <v>793.1</v>
      </c>
      <c r="D151" s="2">
        <v>0.26</v>
      </c>
      <c r="E151" s="2">
        <v>0.97</v>
      </c>
      <c r="F151" s="2">
        <v>50.0</v>
      </c>
      <c r="G151" s="4">
        <v>44460.79704293981</v>
      </c>
      <c r="H151" s="8">
        <v>44460.0</v>
      </c>
    </row>
    <row r="152">
      <c r="A152" s="2">
        <v>3.59</v>
      </c>
      <c r="B152" s="2">
        <v>227.1</v>
      </c>
      <c r="C152" s="2">
        <v>793.2</v>
      </c>
      <c r="D152" s="2">
        <v>0.26</v>
      </c>
      <c r="E152" s="2">
        <v>0.97</v>
      </c>
      <c r="F152" s="2">
        <v>49.9</v>
      </c>
      <c r="G152" s="4">
        <v>44460.797161932875</v>
      </c>
      <c r="H152" s="8">
        <v>44460.0</v>
      </c>
    </row>
    <row r="153">
      <c r="A153" s="2">
        <v>3.59</v>
      </c>
      <c r="B153" s="2">
        <v>227.0</v>
      </c>
      <c r="C153" s="2">
        <v>793.3</v>
      </c>
      <c r="D153" s="2">
        <v>0.27</v>
      </c>
      <c r="E153" s="2">
        <v>0.97</v>
      </c>
      <c r="F153" s="2">
        <v>50.0</v>
      </c>
      <c r="G153" s="4">
        <v>44460.797258287035</v>
      </c>
      <c r="H153" s="8">
        <v>44460.0</v>
      </c>
    </row>
    <row r="154">
      <c r="A154" s="2">
        <v>3.59</v>
      </c>
      <c r="B154" s="2">
        <v>227.0</v>
      </c>
      <c r="C154" s="2">
        <v>793.3</v>
      </c>
      <c r="D154" s="2">
        <v>0.27</v>
      </c>
      <c r="E154" s="2">
        <v>0.97</v>
      </c>
      <c r="F154" s="2">
        <v>49.9</v>
      </c>
      <c r="G154" s="4">
        <v>44460.79735439815</v>
      </c>
      <c r="H154" s="8">
        <v>44460.0</v>
      </c>
    </row>
    <row r="155">
      <c r="A155" s="2">
        <v>3.59</v>
      </c>
      <c r="B155" s="2">
        <v>226.9</v>
      </c>
      <c r="C155" s="2">
        <v>793.4</v>
      </c>
      <c r="D155" s="2">
        <v>0.27</v>
      </c>
      <c r="E155" s="2">
        <v>0.97</v>
      </c>
      <c r="F155" s="2">
        <v>50.0</v>
      </c>
      <c r="G155" s="4">
        <v>44460.7974522338</v>
      </c>
      <c r="H155" s="8">
        <v>44460.0</v>
      </c>
    </row>
    <row r="156">
      <c r="A156" s="2">
        <v>3.59</v>
      </c>
      <c r="B156" s="2">
        <v>226.9</v>
      </c>
      <c r="C156" s="2">
        <v>793.4</v>
      </c>
      <c r="D156" s="2">
        <v>0.27</v>
      </c>
      <c r="E156" s="2">
        <v>0.97</v>
      </c>
      <c r="F156" s="2">
        <v>49.9</v>
      </c>
      <c r="G156" s="4">
        <v>44460.79754905093</v>
      </c>
      <c r="H156" s="8">
        <v>44460.0</v>
      </c>
    </row>
    <row r="157">
      <c r="A157" s="2">
        <v>3.59</v>
      </c>
      <c r="B157" s="2">
        <v>226.8</v>
      </c>
      <c r="C157" s="2">
        <v>793.6</v>
      </c>
      <c r="D157" s="2">
        <v>0.28</v>
      </c>
      <c r="E157" s="2">
        <v>0.97</v>
      </c>
      <c r="F157" s="2">
        <v>49.9</v>
      </c>
      <c r="G157" s="4">
        <v>44460.79764913194</v>
      </c>
      <c r="H157" s="8">
        <v>44460.0</v>
      </c>
    </row>
    <row r="158">
      <c r="A158" s="2">
        <v>3.59</v>
      </c>
      <c r="B158" s="2">
        <v>226.8</v>
      </c>
      <c r="C158" s="2">
        <v>793.7</v>
      </c>
      <c r="D158" s="2">
        <v>0.28</v>
      </c>
      <c r="E158" s="2">
        <v>0.97</v>
      </c>
      <c r="F158" s="2">
        <v>50.0</v>
      </c>
      <c r="G158" s="4">
        <v>44460.79775761574</v>
      </c>
      <c r="H158" s="8">
        <v>44460.0</v>
      </c>
    </row>
    <row r="159">
      <c r="A159" s="2">
        <v>3.59</v>
      </c>
      <c r="B159" s="2">
        <v>226.8</v>
      </c>
      <c r="C159" s="2">
        <v>793.7</v>
      </c>
      <c r="D159" s="2">
        <v>0.28</v>
      </c>
      <c r="E159" s="2">
        <v>0.97</v>
      </c>
      <c r="F159" s="2">
        <v>49.9</v>
      </c>
      <c r="G159" s="4">
        <v>44460.79785538194</v>
      </c>
      <c r="H159" s="8">
        <v>44460.0</v>
      </c>
    </row>
    <row r="160">
      <c r="A160" s="2">
        <v>3.59</v>
      </c>
      <c r="B160" s="2">
        <v>226.7</v>
      </c>
      <c r="C160" s="2">
        <v>793.8</v>
      </c>
      <c r="D160" s="2">
        <v>0.28</v>
      </c>
      <c r="E160" s="2">
        <v>0.97</v>
      </c>
      <c r="F160" s="2">
        <v>49.9</v>
      </c>
      <c r="G160" s="4">
        <v>44460.79795545139</v>
      </c>
      <c r="H160" s="8">
        <v>44460.0</v>
      </c>
    </row>
    <row r="161">
      <c r="A161" s="2">
        <v>3.59</v>
      </c>
      <c r="B161" s="2">
        <v>226.8</v>
      </c>
      <c r="C161" s="2">
        <v>793.8</v>
      </c>
      <c r="D161" s="2">
        <v>0.28</v>
      </c>
      <c r="E161" s="2">
        <v>0.97</v>
      </c>
      <c r="F161" s="2">
        <v>49.9</v>
      </c>
      <c r="G161" s="4">
        <v>44460.79805142361</v>
      </c>
      <c r="H161" s="8">
        <v>44460.0</v>
      </c>
    </row>
    <row r="162">
      <c r="A162" s="2">
        <v>3.59</v>
      </c>
      <c r="B162" s="2">
        <v>226.9</v>
      </c>
      <c r="C162" s="2">
        <v>793.9</v>
      </c>
      <c r="D162" s="2">
        <v>0.28</v>
      </c>
      <c r="E162" s="2">
        <v>0.97</v>
      </c>
      <c r="F162" s="2">
        <v>50.0</v>
      </c>
      <c r="G162" s="4">
        <v>44460.79815650463</v>
      </c>
      <c r="H162" s="8">
        <v>44460.0</v>
      </c>
    </row>
    <row r="163">
      <c r="A163" s="2">
        <v>3.59</v>
      </c>
      <c r="B163" s="2">
        <v>227.0</v>
      </c>
      <c r="C163" s="2">
        <v>794.0</v>
      </c>
      <c r="D163" s="2">
        <v>0.29</v>
      </c>
      <c r="E163" s="2">
        <v>0.97</v>
      </c>
      <c r="F163" s="2">
        <v>50.0</v>
      </c>
      <c r="G163" s="4">
        <v>44460.79825378473</v>
      </c>
      <c r="H163" s="8">
        <v>44460.0</v>
      </c>
    </row>
    <row r="164">
      <c r="A164" s="2">
        <v>3.59</v>
      </c>
      <c r="B164" s="2">
        <v>227.1</v>
      </c>
      <c r="C164" s="2">
        <v>794.1</v>
      </c>
      <c r="D164" s="2">
        <v>0.29</v>
      </c>
      <c r="E164" s="2">
        <v>0.97</v>
      </c>
      <c r="F164" s="2">
        <v>50.0</v>
      </c>
      <c r="G164" s="4">
        <v>44460.79835480324</v>
      </c>
      <c r="H164" s="8">
        <v>44460.0</v>
      </c>
    </row>
    <row r="165">
      <c r="A165" s="2">
        <v>3.59</v>
      </c>
      <c r="B165" s="2">
        <v>227.1</v>
      </c>
      <c r="C165" s="2">
        <v>794.1</v>
      </c>
      <c r="D165" s="2">
        <v>0.29</v>
      </c>
      <c r="E165" s="2">
        <v>0.97</v>
      </c>
      <c r="F165" s="2">
        <v>50.0</v>
      </c>
      <c r="G165" s="4">
        <v>44460.79845515046</v>
      </c>
      <c r="H165" s="8">
        <v>44460.0</v>
      </c>
    </row>
    <row r="166">
      <c r="A166" s="2">
        <v>3.59</v>
      </c>
      <c r="B166" s="2">
        <v>227.0</v>
      </c>
      <c r="C166" s="2">
        <v>794.1</v>
      </c>
      <c r="D166" s="2">
        <v>0.29</v>
      </c>
      <c r="E166" s="2">
        <v>0.97</v>
      </c>
      <c r="F166" s="2">
        <v>50.0</v>
      </c>
      <c r="G166" s="4">
        <v>44460.798555601854</v>
      </c>
      <c r="H166" s="8">
        <v>44460.0</v>
      </c>
    </row>
    <row r="167">
      <c r="A167" s="2">
        <v>3.59</v>
      </c>
      <c r="B167" s="2">
        <v>226.9</v>
      </c>
      <c r="C167" s="2">
        <v>794.2</v>
      </c>
      <c r="D167" s="2">
        <v>0.29</v>
      </c>
      <c r="E167" s="2">
        <v>0.97</v>
      </c>
      <c r="F167" s="2">
        <v>50.0</v>
      </c>
      <c r="G167" s="4">
        <v>44460.7986602662</v>
      </c>
      <c r="H167" s="8">
        <v>44460.0</v>
      </c>
    </row>
    <row r="168">
      <c r="A168" s="2">
        <v>3.59</v>
      </c>
      <c r="B168" s="2">
        <v>226.9</v>
      </c>
      <c r="C168" s="2">
        <v>794.2</v>
      </c>
      <c r="D168" s="2">
        <v>0.3</v>
      </c>
      <c r="E168" s="2">
        <v>0.97</v>
      </c>
      <c r="F168" s="2">
        <v>49.9</v>
      </c>
      <c r="G168" s="4">
        <v>44460.7987615625</v>
      </c>
      <c r="H168" s="8">
        <v>44460.0</v>
      </c>
    </row>
    <row r="169">
      <c r="A169" s="2">
        <v>3.6</v>
      </c>
      <c r="B169" s="2">
        <v>226.8</v>
      </c>
      <c r="C169" s="2">
        <v>794.3</v>
      </c>
      <c r="D169" s="2">
        <v>0.3</v>
      </c>
      <c r="E169" s="2">
        <v>0.97</v>
      </c>
      <c r="F169" s="2">
        <v>50.0</v>
      </c>
      <c r="G169" s="4">
        <v>44460.79885740741</v>
      </c>
      <c r="H169" s="8">
        <v>44460.0</v>
      </c>
    </row>
    <row r="170">
      <c r="A170" s="2">
        <v>3.6</v>
      </c>
      <c r="B170" s="2">
        <v>226.8</v>
      </c>
      <c r="C170" s="2">
        <v>794.3</v>
      </c>
      <c r="D170" s="2">
        <v>0.3</v>
      </c>
      <c r="E170" s="2">
        <v>0.97</v>
      </c>
      <c r="F170" s="2">
        <v>49.9</v>
      </c>
      <c r="G170" s="4">
        <v>44460.79895350694</v>
      </c>
      <c r="H170" s="8">
        <v>44460.0</v>
      </c>
    </row>
    <row r="171">
      <c r="A171" s="2">
        <v>3.6</v>
      </c>
      <c r="B171" s="2">
        <v>226.8</v>
      </c>
      <c r="C171" s="2">
        <v>794.5</v>
      </c>
      <c r="D171" s="2">
        <v>0.3</v>
      </c>
      <c r="E171" s="2">
        <v>0.97</v>
      </c>
      <c r="F171" s="2">
        <v>50.0</v>
      </c>
      <c r="G171" s="4">
        <v>44460.799053263894</v>
      </c>
      <c r="H171" s="8">
        <v>44460.0</v>
      </c>
    </row>
    <row r="172">
      <c r="A172" s="2">
        <v>3.6</v>
      </c>
      <c r="B172" s="2">
        <v>226.7</v>
      </c>
      <c r="C172" s="2">
        <v>794.6</v>
      </c>
      <c r="D172" s="2">
        <v>0.3</v>
      </c>
      <c r="E172" s="2">
        <v>0.97</v>
      </c>
      <c r="F172" s="2">
        <v>50.0</v>
      </c>
      <c r="G172" s="4">
        <v>44460.79915490741</v>
      </c>
      <c r="H172" s="8">
        <v>44460.0</v>
      </c>
    </row>
    <row r="173">
      <c r="A173" s="2">
        <v>3.6</v>
      </c>
      <c r="B173" s="2">
        <v>226.6</v>
      </c>
      <c r="C173" s="2">
        <v>794.6</v>
      </c>
      <c r="D173" s="2">
        <v>0.31</v>
      </c>
      <c r="E173" s="2">
        <v>0.97</v>
      </c>
      <c r="F173" s="2">
        <v>50.0</v>
      </c>
      <c r="G173" s="4">
        <v>44460.79925769676</v>
      </c>
      <c r="H173" s="8">
        <v>44460.0</v>
      </c>
    </row>
    <row r="174">
      <c r="A174" s="2">
        <v>3.6</v>
      </c>
      <c r="B174" s="2">
        <v>226.6</v>
      </c>
      <c r="C174" s="2">
        <v>794.7</v>
      </c>
      <c r="D174" s="2">
        <v>0.31</v>
      </c>
      <c r="E174" s="2">
        <v>0.97</v>
      </c>
      <c r="F174" s="2">
        <v>50.0</v>
      </c>
      <c r="G174" s="4">
        <v>44460.79935981482</v>
      </c>
      <c r="H174" s="8">
        <v>44460.0</v>
      </c>
    </row>
    <row r="175">
      <c r="A175" s="2">
        <v>3.6</v>
      </c>
      <c r="B175" s="2">
        <v>226.6</v>
      </c>
      <c r="C175" s="2">
        <v>794.7</v>
      </c>
      <c r="D175" s="2">
        <v>0.31</v>
      </c>
      <c r="E175" s="2">
        <v>0.97</v>
      </c>
      <c r="F175" s="2">
        <v>49.9</v>
      </c>
      <c r="G175" s="4">
        <v>44460.79946494213</v>
      </c>
      <c r="H175" s="8">
        <v>44460.0</v>
      </c>
    </row>
    <row r="176">
      <c r="A176" s="2">
        <v>3.6</v>
      </c>
      <c r="B176" s="2">
        <v>226.6</v>
      </c>
      <c r="C176" s="2">
        <v>794.8</v>
      </c>
      <c r="D176" s="2">
        <v>0.31</v>
      </c>
      <c r="E176" s="2">
        <v>0.97</v>
      </c>
      <c r="F176" s="2">
        <v>49.9</v>
      </c>
      <c r="G176" s="4">
        <v>44460.79956868055</v>
      </c>
      <c r="H176" s="8">
        <v>44460.0</v>
      </c>
    </row>
    <row r="177">
      <c r="A177" s="2">
        <v>3.6</v>
      </c>
      <c r="B177" s="2">
        <v>226.6</v>
      </c>
      <c r="C177" s="2">
        <v>794.8</v>
      </c>
      <c r="D177" s="2">
        <v>0.31</v>
      </c>
      <c r="E177" s="2">
        <v>0.97</v>
      </c>
      <c r="F177" s="2">
        <v>49.9</v>
      </c>
      <c r="G177" s="4">
        <v>44460.799671354165</v>
      </c>
      <c r="H177" s="8">
        <v>44460.0</v>
      </c>
    </row>
    <row r="178">
      <c r="A178" s="2">
        <v>3.6</v>
      </c>
      <c r="B178" s="2">
        <v>226.7</v>
      </c>
      <c r="C178" s="2">
        <v>794.9</v>
      </c>
      <c r="D178" s="2">
        <v>0.31</v>
      </c>
      <c r="E178" s="2">
        <v>0.97</v>
      </c>
      <c r="F178" s="2">
        <v>50.0</v>
      </c>
      <c r="G178" s="4">
        <v>44460.79977329861</v>
      </c>
      <c r="H178" s="8">
        <v>44460.0</v>
      </c>
    </row>
    <row r="179">
      <c r="A179" s="2">
        <v>3.6</v>
      </c>
      <c r="B179" s="2">
        <v>226.7</v>
      </c>
      <c r="C179" s="2">
        <v>794.9</v>
      </c>
      <c r="D179" s="2">
        <v>0.32</v>
      </c>
      <c r="E179" s="2">
        <v>0.97</v>
      </c>
      <c r="F179" s="2">
        <v>49.9</v>
      </c>
      <c r="G179" s="4">
        <v>44460.79987158565</v>
      </c>
      <c r="H179" s="8">
        <v>44460.0</v>
      </c>
    </row>
    <row r="180">
      <c r="A180" s="2">
        <v>3.6</v>
      </c>
      <c r="B180" s="2">
        <v>226.7</v>
      </c>
      <c r="C180" s="2">
        <v>795.0</v>
      </c>
      <c r="D180" s="2">
        <v>0.32</v>
      </c>
      <c r="E180" s="2">
        <v>0.97</v>
      </c>
      <c r="F180" s="2">
        <v>50.0</v>
      </c>
      <c r="G180" s="4">
        <v>44460.79996878472</v>
      </c>
      <c r="H180" s="8">
        <v>44460.0</v>
      </c>
    </row>
    <row r="181">
      <c r="A181" s="2">
        <v>3.6</v>
      </c>
      <c r="B181" s="2">
        <v>226.7</v>
      </c>
      <c r="C181" s="2">
        <v>795.1</v>
      </c>
      <c r="D181" s="2">
        <v>0.32</v>
      </c>
      <c r="E181" s="2">
        <v>0.97</v>
      </c>
      <c r="F181" s="2">
        <v>49.9</v>
      </c>
      <c r="G181" s="4">
        <v>44460.80006513889</v>
      </c>
      <c r="H181" s="8">
        <v>44460.0</v>
      </c>
    </row>
    <row r="182">
      <c r="A182" s="2">
        <v>3.6</v>
      </c>
      <c r="B182" s="2">
        <v>226.7</v>
      </c>
      <c r="C182" s="2">
        <v>795.1</v>
      </c>
      <c r="D182" s="2">
        <v>0.32</v>
      </c>
      <c r="E182" s="2">
        <v>0.97</v>
      </c>
      <c r="F182" s="2">
        <v>50.0</v>
      </c>
      <c r="G182" s="4">
        <v>44460.800164375</v>
      </c>
      <c r="H182" s="8">
        <v>44460.0</v>
      </c>
    </row>
    <row r="183">
      <c r="A183" s="2">
        <v>3.6</v>
      </c>
      <c r="B183" s="2">
        <v>226.7</v>
      </c>
      <c r="C183" s="2">
        <v>795.1</v>
      </c>
      <c r="D183" s="2">
        <v>0.32</v>
      </c>
      <c r="E183" s="2">
        <v>0.97</v>
      </c>
      <c r="F183" s="2">
        <v>50.0</v>
      </c>
      <c r="G183" s="4">
        <v>44460.80026199074</v>
      </c>
      <c r="H183" s="8">
        <v>44460.0</v>
      </c>
    </row>
    <row r="184">
      <c r="A184" s="2">
        <v>3.6</v>
      </c>
      <c r="B184" s="2">
        <v>227.0</v>
      </c>
      <c r="C184" s="2">
        <v>795.1</v>
      </c>
      <c r="D184" s="2">
        <v>0.33</v>
      </c>
      <c r="E184" s="2">
        <v>0.97</v>
      </c>
      <c r="F184" s="2">
        <v>50.0</v>
      </c>
      <c r="G184" s="4">
        <v>44460.80036148148</v>
      </c>
      <c r="H184" s="8">
        <v>44460.0</v>
      </c>
    </row>
    <row r="185">
      <c r="A185" s="2">
        <v>3.6</v>
      </c>
      <c r="B185" s="2">
        <v>227.0</v>
      </c>
      <c r="C185" s="2">
        <v>795.2</v>
      </c>
      <c r="D185" s="2">
        <v>0.33</v>
      </c>
      <c r="E185" s="2">
        <v>0.97</v>
      </c>
      <c r="F185" s="2">
        <v>50.0</v>
      </c>
      <c r="G185" s="4">
        <v>44460.80048837963</v>
      </c>
      <c r="H185" s="8">
        <v>44460.0</v>
      </c>
    </row>
    <row r="186">
      <c r="A186" s="2">
        <v>3.59</v>
      </c>
      <c r="B186" s="2">
        <v>227.1</v>
      </c>
      <c r="C186" s="2">
        <v>795.3</v>
      </c>
      <c r="D186" s="2">
        <v>0.33</v>
      </c>
      <c r="E186" s="2">
        <v>0.97</v>
      </c>
      <c r="F186" s="2">
        <v>50.0</v>
      </c>
      <c r="G186" s="4">
        <v>44460.80059204861</v>
      </c>
      <c r="H186" s="8">
        <v>44460.0</v>
      </c>
    </row>
    <row r="187">
      <c r="A187" s="2">
        <v>3.6</v>
      </c>
      <c r="B187" s="2">
        <v>227.1</v>
      </c>
      <c r="C187" s="2">
        <v>795.3</v>
      </c>
      <c r="D187" s="2">
        <v>0.33</v>
      </c>
      <c r="E187" s="2">
        <v>0.97</v>
      </c>
      <c r="F187" s="2">
        <v>50.0</v>
      </c>
      <c r="G187" s="4">
        <v>44460.80069108796</v>
      </c>
      <c r="H187" s="8">
        <v>44460.0</v>
      </c>
    </row>
    <row r="188">
      <c r="A188" s="2">
        <v>3.6</v>
      </c>
      <c r="B188" s="2">
        <v>227.1</v>
      </c>
      <c r="C188" s="2">
        <v>795.4</v>
      </c>
      <c r="D188" s="2">
        <v>0.34</v>
      </c>
      <c r="E188" s="2">
        <v>0.97</v>
      </c>
      <c r="F188" s="2">
        <v>50.0</v>
      </c>
      <c r="G188" s="4">
        <v>44460.80079274306</v>
      </c>
      <c r="H188" s="8">
        <v>44460.0</v>
      </c>
    </row>
    <row r="189">
      <c r="A189" s="2">
        <v>3.6</v>
      </c>
      <c r="B189" s="2">
        <v>227.1</v>
      </c>
      <c r="C189" s="2">
        <v>795.5</v>
      </c>
      <c r="D189" s="2">
        <v>0.34</v>
      </c>
      <c r="E189" s="2">
        <v>0.97</v>
      </c>
      <c r="F189" s="2">
        <v>50.0</v>
      </c>
      <c r="G189" s="4">
        <v>44460.80089287037</v>
      </c>
      <c r="H189" s="8">
        <v>44460.0</v>
      </c>
    </row>
    <row r="190">
      <c r="A190" s="2">
        <v>3.59</v>
      </c>
      <c r="B190" s="2">
        <v>227.2</v>
      </c>
      <c r="C190" s="2">
        <v>795.5</v>
      </c>
      <c r="D190" s="2">
        <v>0.34</v>
      </c>
      <c r="E190" s="2">
        <v>0.97</v>
      </c>
      <c r="F190" s="2">
        <v>50.0</v>
      </c>
      <c r="G190" s="4">
        <v>44460.80099150463</v>
      </c>
      <c r="H190" s="8">
        <v>44460.0</v>
      </c>
    </row>
    <row r="191">
      <c r="A191" s="2">
        <v>3.59</v>
      </c>
      <c r="B191" s="2">
        <v>227.2</v>
      </c>
      <c r="C191" s="2">
        <v>795.6</v>
      </c>
      <c r="D191" s="2">
        <v>0.34</v>
      </c>
      <c r="E191" s="2">
        <v>0.97</v>
      </c>
      <c r="F191" s="2">
        <v>50.0</v>
      </c>
      <c r="G191" s="4">
        <v>44460.801094317125</v>
      </c>
      <c r="H191" s="8">
        <v>44460.0</v>
      </c>
    </row>
    <row r="192">
      <c r="A192" s="2">
        <v>3.6</v>
      </c>
      <c r="B192" s="2">
        <v>227.2</v>
      </c>
      <c r="C192" s="2">
        <v>795.7</v>
      </c>
      <c r="D192" s="2">
        <v>0.34</v>
      </c>
      <c r="E192" s="2">
        <v>0.97</v>
      </c>
      <c r="F192" s="2">
        <v>50.0</v>
      </c>
      <c r="G192" s="4">
        <v>44460.80119247685</v>
      </c>
      <c r="H192" s="8">
        <v>44460.0</v>
      </c>
    </row>
    <row r="193">
      <c r="A193" s="2">
        <v>3.6</v>
      </c>
      <c r="B193" s="2">
        <v>227.1</v>
      </c>
      <c r="C193" s="2">
        <v>795.7</v>
      </c>
      <c r="D193" s="2">
        <v>0.34</v>
      </c>
      <c r="E193" s="2">
        <v>0.97</v>
      </c>
      <c r="F193" s="2">
        <v>50.0</v>
      </c>
      <c r="G193" s="4">
        <v>44460.801289270836</v>
      </c>
      <c r="H193" s="8">
        <v>44460.0</v>
      </c>
    </row>
    <row r="194">
      <c r="A194" s="2">
        <v>3.6</v>
      </c>
      <c r="B194" s="2">
        <v>227.1</v>
      </c>
      <c r="C194" s="2">
        <v>795.8</v>
      </c>
      <c r="D194" s="2">
        <v>0.35</v>
      </c>
      <c r="E194" s="2">
        <v>0.97</v>
      </c>
      <c r="F194" s="2">
        <v>49.9</v>
      </c>
      <c r="G194" s="4">
        <v>44460.80142071759</v>
      </c>
      <c r="H194" s="8">
        <v>44460.0</v>
      </c>
    </row>
    <row r="195">
      <c r="A195" s="2">
        <v>3.6</v>
      </c>
      <c r="B195" s="2">
        <v>227.1</v>
      </c>
      <c r="C195" s="2">
        <v>795.8</v>
      </c>
      <c r="D195" s="2">
        <v>0.35</v>
      </c>
      <c r="E195" s="2">
        <v>0.97</v>
      </c>
      <c r="F195" s="2">
        <v>49.9</v>
      </c>
      <c r="G195" s="4">
        <v>44460.80154837963</v>
      </c>
      <c r="H195" s="8">
        <v>44460.0</v>
      </c>
    </row>
    <row r="196">
      <c r="A196" s="2">
        <v>3.6</v>
      </c>
      <c r="B196" s="2">
        <v>227.1</v>
      </c>
      <c r="C196" s="2">
        <v>795.9</v>
      </c>
      <c r="D196" s="2">
        <v>0.35</v>
      </c>
      <c r="E196" s="2">
        <v>0.97</v>
      </c>
      <c r="F196" s="2">
        <v>49.9</v>
      </c>
      <c r="G196" s="4">
        <v>44460.80165267361</v>
      </c>
      <c r="H196" s="8">
        <v>44460.0</v>
      </c>
    </row>
    <row r="197">
      <c r="A197" s="2">
        <v>3.6</v>
      </c>
      <c r="B197" s="2">
        <v>227.1</v>
      </c>
      <c r="C197" s="2">
        <v>795.9</v>
      </c>
      <c r="D197" s="2">
        <v>0.35</v>
      </c>
      <c r="E197" s="2">
        <v>0.97</v>
      </c>
      <c r="F197" s="2">
        <v>49.9</v>
      </c>
      <c r="G197" s="4">
        <v>44460.80175054398</v>
      </c>
      <c r="H197" s="8">
        <v>44460.0</v>
      </c>
    </row>
    <row r="198">
      <c r="A198" s="2">
        <v>3.6</v>
      </c>
      <c r="B198" s="2">
        <v>227.1</v>
      </c>
      <c r="C198" s="2">
        <v>795.9</v>
      </c>
      <c r="D198" s="2">
        <v>0.35</v>
      </c>
      <c r="E198" s="2">
        <v>0.97</v>
      </c>
      <c r="F198" s="2">
        <v>50.0</v>
      </c>
      <c r="G198" s="4">
        <v>44460.80184753472</v>
      </c>
      <c r="H198" s="8">
        <v>44460.0</v>
      </c>
    </row>
    <row r="199">
      <c r="A199" s="2">
        <v>3.6</v>
      </c>
      <c r="B199" s="2">
        <v>227.1</v>
      </c>
      <c r="C199" s="2">
        <v>796.0</v>
      </c>
      <c r="D199" s="2">
        <v>0.36</v>
      </c>
      <c r="E199" s="2">
        <v>0.97</v>
      </c>
      <c r="F199" s="2">
        <v>49.9</v>
      </c>
      <c r="G199" s="4">
        <v>44460.80194534722</v>
      </c>
      <c r="H199" s="8">
        <v>44460.0</v>
      </c>
    </row>
    <row r="200">
      <c r="A200" s="2">
        <v>3.6</v>
      </c>
      <c r="B200" s="2">
        <v>227.1</v>
      </c>
      <c r="C200" s="2">
        <v>796.0</v>
      </c>
      <c r="D200" s="2">
        <v>0.36</v>
      </c>
      <c r="E200" s="2">
        <v>0.97</v>
      </c>
      <c r="F200" s="2">
        <v>50.0</v>
      </c>
      <c r="G200" s="4">
        <v>44460.80204446759</v>
      </c>
      <c r="H200" s="8">
        <v>44460.0</v>
      </c>
    </row>
    <row r="201">
      <c r="A201" s="2">
        <v>3.6</v>
      </c>
      <c r="B201" s="2">
        <v>227.1</v>
      </c>
      <c r="C201" s="2">
        <v>796.2</v>
      </c>
      <c r="D201" s="2">
        <v>0.36</v>
      </c>
      <c r="E201" s="2">
        <v>0.97</v>
      </c>
      <c r="F201" s="2">
        <v>49.9</v>
      </c>
      <c r="G201" s="4">
        <v>44460.8021428125</v>
      </c>
      <c r="H201" s="8">
        <v>44460.0</v>
      </c>
    </row>
    <row r="202">
      <c r="A202" s="2">
        <v>3.6</v>
      </c>
      <c r="B202" s="2">
        <v>227.2</v>
      </c>
      <c r="C202" s="2">
        <v>796.1</v>
      </c>
      <c r="D202" s="2">
        <v>0.36</v>
      </c>
      <c r="E202" s="2">
        <v>0.97</v>
      </c>
      <c r="F202" s="2">
        <v>49.9</v>
      </c>
      <c r="G202" s="4">
        <v>44460.802243136575</v>
      </c>
      <c r="H202" s="8">
        <v>44460.0</v>
      </c>
    </row>
    <row r="203">
      <c r="A203" s="2">
        <v>3.6</v>
      </c>
      <c r="B203" s="2">
        <v>227.3</v>
      </c>
      <c r="C203" s="2">
        <v>796.2</v>
      </c>
      <c r="D203" s="2">
        <v>0.36</v>
      </c>
      <c r="E203" s="2">
        <v>0.97</v>
      </c>
      <c r="F203" s="2">
        <v>50.0</v>
      </c>
      <c r="G203" s="4">
        <v>44460.80234037037</v>
      </c>
      <c r="H203" s="8">
        <v>44460.0</v>
      </c>
    </row>
    <row r="204">
      <c r="A204" s="2">
        <v>3.6</v>
      </c>
      <c r="B204" s="2">
        <v>227.2</v>
      </c>
      <c r="C204" s="2">
        <v>796.3</v>
      </c>
      <c r="D204" s="2">
        <v>0.37</v>
      </c>
      <c r="E204" s="2">
        <v>0.97</v>
      </c>
      <c r="F204" s="2">
        <v>49.9</v>
      </c>
      <c r="G204" s="4">
        <v>44460.80243967593</v>
      </c>
      <c r="H204" s="8">
        <v>44460.0</v>
      </c>
    </row>
    <row r="205">
      <c r="A205" s="2">
        <v>3.6</v>
      </c>
      <c r="B205" s="2">
        <v>227.4</v>
      </c>
      <c r="C205" s="2">
        <v>796.4</v>
      </c>
      <c r="D205" s="2">
        <v>0.37</v>
      </c>
      <c r="E205" s="2">
        <v>0.97</v>
      </c>
      <c r="F205" s="2">
        <v>50.0</v>
      </c>
      <c r="G205" s="4">
        <v>44460.80254039352</v>
      </c>
      <c r="H205" s="8">
        <v>44460.0</v>
      </c>
    </row>
    <row r="206">
      <c r="A206" s="2">
        <v>3.59</v>
      </c>
      <c r="B206" s="2">
        <v>227.4</v>
      </c>
      <c r="C206" s="2">
        <v>796.5</v>
      </c>
      <c r="D206" s="2">
        <v>0.37</v>
      </c>
      <c r="E206" s="2">
        <v>0.97</v>
      </c>
      <c r="F206" s="2">
        <v>50.0</v>
      </c>
      <c r="G206" s="4">
        <v>44460.802636504624</v>
      </c>
      <c r="H206" s="8">
        <v>44460.0</v>
      </c>
    </row>
    <row r="207">
      <c r="A207" s="2">
        <v>3.6</v>
      </c>
      <c r="B207" s="2">
        <v>227.3</v>
      </c>
      <c r="C207" s="2">
        <v>796.4</v>
      </c>
      <c r="D207" s="2">
        <v>0.37</v>
      </c>
      <c r="E207" s="2">
        <v>0.97</v>
      </c>
      <c r="F207" s="2">
        <v>50.0</v>
      </c>
      <c r="G207" s="4">
        <v>44460.80273405093</v>
      </c>
      <c r="H207" s="8">
        <v>44460.0</v>
      </c>
    </row>
    <row r="208">
      <c r="A208" s="2">
        <v>3.6</v>
      </c>
      <c r="B208" s="2">
        <v>227.3</v>
      </c>
      <c r="C208" s="2">
        <v>796.5</v>
      </c>
      <c r="D208" s="2">
        <v>0.37</v>
      </c>
      <c r="E208" s="2">
        <v>0.97</v>
      </c>
      <c r="F208" s="2">
        <v>49.9</v>
      </c>
      <c r="G208" s="4">
        <v>44460.80283241898</v>
      </c>
      <c r="H208" s="8">
        <v>44460.0</v>
      </c>
    </row>
    <row r="209">
      <c r="A209" s="2">
        <v>3.6</v>
      </c>
      <c r="B209" s="2">
        <v>227.3</v>
      </c>
      <c r="C209" s="2">
        <v>796.5</v>
      </c>
      <c r="D209" s="2">
        <v>0.38</v>
      </c>
      <c r="E209" s="2">
        <v>0.97</v>
      </c>
      <c r="F209" s="2">
        <v>50.0</v>
      </c>
      <c r="G209" s="4">
        <v>44460.80292934028</v>
      </c>
      <c r="H209" s="8">
        <v>44460.0</v>
      </c>
    </row>
    <row r="210">
      <c r="A210" s="2">
        <v>3.6</v>
      </c>
      <c r="B210" s="2">
        <v>227.4</v>
      </c>
      <c r="C210" s="2">
        <v>796.5</v>
      </c>
      <c r="D210" s="2">
        <v>0.38</v>
      </c>
      <c r="E210" s="2">
        <v>0.97</v>
      </c>
      <c r="F210" s="2">
        <v>50.0</v>
      </c>
      <c r="G210" s="4">
        <v>44460.80303038194</v>
      </c>
      <c r="H210" s="8">
        <v>44460.0</v>
      </c>
    </row>
    <row r="211">
      <c r="A211" s="2">
        <v>3.6</v>
      </c>
      <c r="B211" s="2">
        <v>227.4</v>
      </c>
      <c r="C211" s="2">
        <v>796.6</v>
      </c>
      <c r="D211" s="2">
        <v>0.38</v>
      </c>
      <c r="E211" s="2">
        <v>0.97</v>
      </c>
      <c r="F211" s="2">
        <v>50.0</v>
      </c>
      <c r="G211" s="4">
        <v>44460.80312650463</v>
      </c>
      <c r="H211" s="8">
        <v>44460.0</v>
      </c>
    </row>
    <row r="212">
      <c r="A212" s="2">
        <v>3.6</v>
      </c>
      <c r="B212" s="2">
        <v>227.4</v>
      </c>
      <c r="C212" s="2">
        <v>796.6</v>
      </c>
      <c r="D212" s="2">
        <v>0.38</v>
      </c>
      <c r="E212" s="2">
        <v>0.97</v>
      </c>
      <c r="F212" s="2">
        <v>50.0</v>
      </c>
      <c r="G212" s="4">
        <v>44460.803228460645</v>
      </c>
      <c r="H212" s="8">
        <v>44460.0</v>
      </c>
    </row>
    <row r="213">
      <c r="A213" s="2">
        <v>3.6</v>
      </c>
      <c r="B213" s="2">
        <v>227.4</v>
      </c>
      <c r="C213" s="2">
        <v>796.7</v>
      </c>
      <c r="D213" s="2">
        <v>0.38</v>
      </c>
      <c r="E213" s="2">
        <v>0.97</v>
      </c>
      <c r="F213" s="2">
        <v>50.0</v>
      </c>
      <c r="G213" s="4">
        <v>44460.80333060185</v>
      </c>
      <c r="H213" s="8">
        <v>44460.0</v>
      </c>
    </row>
    <row r="214">
      <c r="A214" s="2">
        <v>3.6</v>
      </c>
      <c r="B214" s="2">
        <v>227.5</v>
      </c>
      <c r="C214" s="2">
        <v>796.7</v>
      </c>
      <c r="D214" s="2">
        <v>0.38</v>
      </c>
      <c r="E214" s="2">
        <v>0.97</v>
      </c>
      <c r="F214" s="2">
        <v>50.0</v>
      </c>
      <c r="G214" s="4">
        <v>44460.803426099534</v>
      </c>
      <c r="H214" s="8">
        <v>44460.0</v>
      </c>
    </row>
    <row r="215">
      <c r="A215" s="2">
        <v>3.59</v>
      </c>
      <c r="B215" s="2">
        <v>227.6</v>
      </c>
      <c r="C215" s="2">
        <v>796.8</v>
      </c>
      <c r="D215" s="2">
        <v>0.39</v>
      </c>
      <c r="E215" s="2">
        <v>0.97</v>
      </c>
      <c r="F215" s="2">
        <v>50.0</v>
      </c>
      <c r="G215" s="4">
        <v>44460.80352606482</v>
      </c>
      <c r="H215" s="8">
        <v>44460.0</v>
      </c>
    </row>
    <row r="216">
      <c r="A216" s="2">
        <v>3.59</v>
      </c>
      <c r="B216" s="2">
        <v>227.6</v>
      </c>
      <c r="C216" s="2">
        <v>796.8</v>
      </c>
      <c r="D216" s="2">
        <v>0.39</v>
      </c>
      <c r="E216" s="2">
        <v>0.97</v>
      </c>
      <c r="F216" s="2">
        <v>50.0</v>
      </c>
      <c r="G216" s="4">
        <v>44460.80362803241</v>
      </c>
      <c r="H216" s="8">
        <v>44460.0</v>
      </c>
    </row>
    <row r="217">
      <c r="A217" s="2">
        <v>3.59</v>
      </c>
      <c r="B217" s="2">
        <v>227.7</v>
      </c>
      <c r="C217" s="2">
        <v>796.8</v>
      </c>
      <c r="D217" s="2">
        <v>0.39</v>
      </c>
      <c r="E217" s="2">
        <v>0.97</v>
      </c>
      <c r="F217" s="2">
        <v>50.0</v>
      </c>
      <c r="G217" s="4">
        <v>44460.80372362268</v>
      </c>
      <c r="H217" s="8">
        <v>44460.0</v>
      </c>
    </row>
    <row r="218">
      <c r="A218" s="2">
        <v>3.59</v>
      </c>
      <c r="B218" s="2">
        <v>227.7</v>
      </c>
      <c r="C218" s="2">
        <v>796.9</v>
      </c>
      <c r="D218" s="2">
        <v>0.39</v>
      </c>
      <c r="E218" s="2">
        <v>0.97</v>
      </c>
      <c r="F218" s="2">
        <v>50.0</v>
      </c>
      <c r="G218" s="4">
        <v>44460.803823263894</v>
      </c>
      <c r="H218" s="8">
        <v>44460.0</v>
      </c>
    </row>
    <row r="219">
      <c r="A219" s="2">
        <v>3.6</v>
      </c>
      <c r="B219" s="2">
        <v>227.5</v>
      </c>
      <c r="C219" s="2">
        <v>797.0</v>
      </c>
      <c r="D219" s="2">
        <v>0.39</v>
      </c>
      <c r="E219" s="2">
        <v>0.97</v>
      </c>
      <c r="F219" s="2">
        <v>50.0</v>
      </c>
      <c r="G219" s="4">
        <v>44460.803919513884</v>
      </c>
      <c r="H219" s="8">
        <v>44460.0</v>
      </c>
    </row>
    <row r="220">
      <c r="A220" s="2">
        <v>3.59</v>
      </c>
      <c r="B220" s="2">
        <v>227.7</v>
      </c>
      <c r="C220" s="2">
        <v>797.1</v>
      </c>
      <c r="D220" s="2">
        <v>0.4</v>
      </c>
      <c r="E220" s="2">
        <v>0.97</v>
      </c>
      <c r="F220" s="2">
        <v>50.0</v>
      </c>
      <c r="G220" s="4">
        <v>44460.80401515047</v>
      </c>
      <c r="H220" s="8">
        <v>44460.0</v>
      </c>
    </row>
    <row r="221">
      <c r="A221" s="2">
        <v>3.59</v>
      </c>
      <c r="B221" s="2">
        <v>227.7</v>
      </c>
      <c r="C221" s="2">
        <v>797.1</v>
      </c>
      <c r="D221" s="2">
        <v>0.4</v>
      </c>
      <c r="E221" s="2">
        <v>0.97</v>
      </c>
      <c r="F221" s="2">
        <v>50.0</v>
      </c>
      <c r="G221" s="4">
        <v>44460.80411293982</v>
      </c>
      <c r="H221" s="8">
        <v>44460.0</v>
      </c>
    </row>
    <row r="222">
      <c r="A222" s="2">
        <v>3.6</v>
      </c>
      <c r="B222" s="2">
        <v>227.6</v>
      </c>
      <c r="C222" s="2">
        <v>797.2</v>
      </c>
      <c r="D222" s="2">
        <v>0.4</v>
      </c>
      <c r="E222" s="2">
        <v>0.97</v>
      </c>
      <c r="F222" s="2">
        <v>50.0</v>
      </c>
      <c r="G222" s="4">
        <v>44460.80421025463</v>
      </c>
      <c r="H222" s="8">
        <v>44460.0</v>
      </c>
    </row>
    <row r="223">
      <c r="A223" s="2">
        <v>3.59</v>
      </c>
      <c r="B223" s="2">
        <v>227.6</v>
      </c>
      <c r="C223" s="2">
        <v>797.2</v>
      </c>
      <c r="D223" s="2">
        <v>0.4</v>
      </c>
      <c r="E223" s="2">
        <v>0.97</v>
      </c>
      <c r="F223" s="2">
        <v>50.0</v>
      </c>
      <c r="G223" s="4">
        <v>44460.804307060185</v>
      </c>
      <c r="H223" s="8">
        <v>44460.0</v>
      </c>
    </row>
    <row r="224">
      <c r="A224" s="2">
        <v>3.6</v>
      </c>
      <c r="B224" s="2">
        <v>227.6</v>
      </c>
      <c r="C224" s="2">
        <v>797.3</v>
      </c>
      <c r="D224" s="2">
        <v>0.4</v>
      </c>
      <c r="E224" s="2">
        <v>0.97</v>
      </c>
      <c r="F224" s="2">
        <v>50.0</v>
      </c>
      <c r="G224" s="4">
        <v>44460.804404166665</v>
      </c>
      <c r="H224" s="8">
        <v>44460.0</v>
      </c>
    </row>
    <row r="225">
      <c r="A225" s="2">
        <v>3.6</v>
      </c>
      <c r="B225" s="2">
        <v>227.7</v>
      </c>
      <c r="C225" s="2">
        <v>797.4</v>
      </c>
      <c r="D225" s="2">
        <v>0.41</v>
      </c>
      <c r="E225" s="2">
        <v>0.97</v>
      </c>
      <c r="F225" s="2">
        <v>50.0</v>
      </c>
      <c r="G225" s="4">
        <v>44460.80450063657</v>
      </c>
      <c r="H225" s="8">
        <v>44460.0</v>
      </c>
    </row>
    <row r="226">
      <c r="A226" s="2">
        <v>3.6</v>
      </c>
      <c r="B226" s="2">
        <v>227.5</v>
      </c>
      <c r="C226" s="2">
        <v>797.4</v>
      </c>
      <c r="D226" s="2">
        <v>0.41</v>
      </c>
      <c r="E226" s="2">
        <v>0.97</v>
      </c>
      <c r="F226" s="2">
        <v>50.0</v>
      </c>
      <c r="G226" s="4">
        <v>44460.80459762731</v>
      </c>
      <c r="H226" s="8">
        <v>44460.0</v>
      </c>
    </row>
    <row r="227">
      <c r="A227" s="2">
        <v>3.6</v>
      </c>
      <c r="B227" s="2">
        <v>227.5</v>
      </c>
      <c r="C227" s="2">
        <v>797.5</v>
      </c>
      <c r="D227" s="2">
        <v>0.41</v>
      </c>
      <c r="E227" s="2">
        <v>0.97</v>
      </c>
      <c r="F227" s="2">
        <v>50.0</v>
      </c>
      <c r="G227" s="4">
        <v>44460.80469259259</v>
      </c>
      <c r="H227" s="8">
        <v>44460.0</v>
      </c>
    </row>
    <row r="228">
      <c r="A228" s="2">
        <v>3.6</v>
      </c>
      <c r="B228" s="2">
        <v>227.6</v>
      </c>
      <c r="C228" s="2">
        <v>797.5</v>
      </c>
      <c r="D228" s="2">
        <v>0.41</v>
      </c>
      <c r="E228" s="2">
        <v>0.97</v>
      </c>
      <c r="F228" s="2">
        <v>50.0</v>
      </c>
      <c r="G228" s="4">
        <v>44460.80478800926</v>
      </c>
      <c r="H228" s="8">
        <v>44460.0</v>
      </c>
    </row>
    <row r="229">
      <c r="A229" s="2">
        <v>3.6</v>
      </c>
      <c r="B229" s="2">
        <v>227.6</v>
      </c>
      <c r="C229" s="2">
        <v>797.5</v>
      </c>
      <c r="D229" s="2">
        <v>0.41</v>
      </c>
      <c r="E229" s="2">
        <v>0.97</v>
      </c>
      <c r="F229" s="2">
        <v>50.0</v>
      </c>
      <c r="G229" s="4">
        <v>44460.80488686342</v>
      </c>
      <c r="H229" s="8">
        <v>44460.0</v>
      </c>
    </row>
    <row r="230">
      <c r="A230" s="2">
        <v>3.61</v>
      </c>
      <c r="B230" s="2">
        <v>226.8</v>
      </c>
      <c r="C230" s="2">
        <v>797.7</v>
      </c>
      <c r="D230" s="2">
        <v>0.41</v>
      </c>
      <c r="E230" s="2">
        <v>0.97</v>
      </c>
      <c r="F230" s="2">
        <v>50.0</v>
      </c>
      <c r="G230" s="4">
        <v>44460.804985532406</v>
      </c>
      <c r="H230" s="8">
        <v>44460.0</v>
      </c>
    </row>
    <row r="231">
      <c r="A231" s="2">
        <v>3.6</v>
      </c>
      <c r="B231" s="2">
        <v>227.4</v>
      </c>
      <c r="C231" s="2">
        <v>797.8</v>
      </c>
      <c r="D231" s="2">
        <v>0.42</v>
      </c>
      <c r="E231" s="2">
        <v>0.97</v>
      </c>
      <c r="F231" s="2">
        <v>50.0</v>
      </c>
      <c r="G231" s="4">
        <v>44460.80508627315</v>
      </c>
      <c r="H231" s="8">
        <v>44460.0</v>
      </c>
    </row>
    <row r="232">
      <c r="A232" s="2">
        <v>3.6</v>
      </c>
      <c r="B232" s="2">
        <v>227.3</v>
      </c>
      <c r="C232" s="2">
        <v>797.7</v>
      </c>
      <c r="D232" s="2">
        <v>0.42</v>
      </c>
      <c r="E232" s="2">
        <v>0.97</v>
      </c>
      <c r="F232" s="2">
        <v>50.0</v>
      </c>
      <c r="G232" s="4">
        <v>44460.8051829051</v>
      </c>
      <c r="H232" s="8">
        <v>44460.0</v>
      </c>
    </row>
    <row r="233">
      <c r="A233" s="2">
        <v>3.6</v>
      </c>
      <c r="B233" s="2">
        <v>227.3</v>
      </c>
      <c r="C233" s="2">
        <v>797.8</v>
      </c>
      <c r="D233" s="2">
        <v>0.42</v>
      </c>
      <c r="E233" s="2">
        <v>0.97</v>
      </c>
      <c r="F233" s="2">
        <v>50.0</v>
      </c>
      <c r="G233" s="4">
        <v>44460.805279004635</v>
      </c>
      <c r="H233" s="8">
        <v>44460.0</v>
      </c>
    </row>
    <row r="234">
      <c r="A234" s="2">
        <v>3.61</v>
      </c>
      <c r="B234" s="2">
        <v>227.1</v>
      </c>
      <c r="C234" s="2">
        <v>797.8</v>
      </c>
      <c r="D234" s="2">
        <v>0.42</v>
      </c>
      <c r="E234" s="2">
        <v>0.97</v>
      </c>
      <c r="F234" s="2">
        <v>49.9</v>
      </c>
      <c r="G234" s="4">
        <v>44460.80537609954</v>
      </c>
      <c r="H234" s="8">
        <v>44460.0</v>
      </c>
    </row>
    <row r="235">
      <c r="A235" s="2">
        <v>3.61</v>
      </c>
      <c r="B235" s="2">
        <v>227.1</v>
      </c>
      <c r="C235" s="2">
        <v>797.9</v>
      </c>
      <c r="D235" s="2">
        <v>0.42</v>
      </c>
      <c r="E235" s="2">
        <v>0.97</v>
      </c>
      <c r="F235" s="2">
        <v>49.9</v>
      </c>
      <c r="G235" s="4">
        <v>44460.80547090278</v>
      </c>
      <c r="H235" s="8">
        <v>44460.0</v>
      </c>
    </row>
    <row r="236">
      <c r="A236" s="2">
        <v>3.61</v>
      </c>
      <c r="B236" s="2">
        <v>227.1</v>
      </c>
      <c r="C236" s="2">
        <v>798.0</v>
      </c>
      <c r="D236" s="2">
        <v>0.43</v>
      </c>
      <c r="E236" s="2">
        <v>0.97</v>
      </c>
      <c r="F236" s="2">
        <v>50.0</v>
      </c>
      <c r="G236" s="4">
        <v>44460.805579699074</v>
      </c>
      <c r="H236" s="8">
        <v>44460.0</v>
      </c>
    </row>
    <row r="237">
      <c r="A237" s="2">
        <v>3.61</v>
      </c>
      <c r="B237" s="2">
        <v>227.1</v>
      </c>
      <c r="C237" s="2">
        <v>798.0</v>
      </c>
      <c r="D237" s="2">
        <v>0.43</v>
      </c>
      <c r="E237" s="2">
        <v>0.97</v>
      </c>
      <c r="F237" s="2">
        <v>50.0</v>
      </c>
      <c r="G237" s="4">
        <v>44460.805679074074</v>
      </c>
      <c r="H237" s="8">
        <v>44460.0</v>
      </c>
    </row>
    <row r="238">
      <c r="A238" s="2">
        <v>3.61</v>
      </c>
      <c r="B238" s="2">
        <v>227.2</v>
      </c>
      <c r="C238" s="2">
        <v>798.0</v>
      </c>
      <c r="D238" s="2">
        <v>0.43</v>
      </c>
      <c r="E238" s="2">
        <v>0.97</v>
      </c>
      <c r="F238" s="2">
        <v>50.0</v>
      </c>
      <c r="G238" s="4">
        <v>44460.805775057874</v>
      </c>
      <c r="H238" s="8">
        <v>44460.0</v>
      </c>
    </row>
    <row r="239">
      <c r="A239" s="2">
        <v>3.6</v>
      </c>
      <c r="B239" s="2">
        <v>227.3</v>
      </c>
      <c r="C239" s="2">
        <v>798.0</v>
      </c>
      <c r="D239" s="2">
        <v>0.43</v>
      </c>
      <c r="E239" s="2">
        <v>0.97</v>
      </c>
      <c r="F239" s="2">
        <v>50.0</v>
      </c>
      <c r="G239" s="4">
        <v>44460.80587064815</v>
      </c>
      <c r="H239" s="8">
        <v>44460.0</v>
      </c>
    </row>
    <row r="240">
      <c r="A240" s="2">
        <v>3.61</v>
      </c>
      <c r="B240" s="2">
        <v>227.2</v>
      </c>
      <c r="C240" s="2">
        <v>798.1</v>
      </c>
      <c r="D240" s="2">
        <v>0.43</v>
      </c>
      <c r="E240" s="2">
        <v>0.97</v>
      </c>
      <c r="F240" s="2">
        <v>50.0</v>
      </c>
      <c r="G240" s="4">
        <v>44460.80596932871</v>
      </c>
      <c r="H240" s="8">
        <v>44460.0</v>
      </c>
    </row>
    <row r="241">
      <c r="A241" s="2">
        <v>3.61</v>
      </c>
      <c r="B241" s="2">
        <v>227.2</v>
      </c>
      <c r="C241" s="2">
        <v>798.1</v>
      </c>
      <c r="D241" s="2">
        <v>0.44</v>
      </c>
      <c r="E241" s="2">
        <v>0.97</v>
      </c>
      <c r="F241" s="2">
        <v>50.0</v>
      </c>
      <c r="G241" s="4">
        <v>44460.80606664352</v>
      </c>
      <c r="H241" s="8">
        <v>44460.0</v>
      </c>
    </row>
    <row r="242">
      <c r="A242" s="2">
        <v>3.61</v>
      </c>
      <c r="B242" s="2">
        <v>226.8</v>
      </c>
      <c r="C242" s="2">
        <v>798.3</v>
      </c>
      <c r="D242" s="2">
        <v>0.44</v>
      </c>
      <c r="E242" s="2">
        <v>0.97</v>
      </c>
      <c r="F242" s="2">
        <v>50.0</v>
      </c>
      <c r="G242" s="4">
        <v>44460.80616231481</v>
      </c>
      <c r="H242" s="8">
        <v>44460.0</v>
      </c>
    </row>
    <row r="243">
      <c r="A243" s="2">
        <v>3.61</v>
      </c>
      <c r="B243" s="2">
        <v>226.8</v>
      </c>
      <c r="C243" s="2">
        <v>798.3</v>
      </c>
      <c r="D243" s="2">
        <v>0.44</v>
      </c>
      <c r="E243" s="2">
        <v>0.97</v>
      </c>
      <c r="F243" s="2">
        <v>50.0</v>
      </c>
      <c r="G243" s="4">
        <v>44460.80625732639</v>
      </c>
      <c r="H243" s="8">
        <v>44460.0</v>
      </c>
    </row>
    <row r="244">
      <c r="A244" s="2">
        <v>3.61</v>
      </c>
      <c r="B244" s="2">
        <v>226.9</v>
      </c>
      <c r="C244" s="2">
        <v>798.4</v>
      </c>
      <c r="D244" s="2">
        <v>0.44</v>
      </c>
      <c r="E244" s="2">
        <v>0.97</v>
      </c>
      <c r="F244" s="2">
        <v>50.0</v>
      </c>
      <c r="G244" s="4">
        <v>44460.80635815972</v>
      </c>
      <c r="H244" s="8">
        <v>44460.0</v>
      </c>
    </row>
    <row r="245">
      <c r="A245" s="2">
        <v>3.61</v>
      </c>
      <c r="B245" s="2">
        <v>226.9</v>
      </c>
      <c r="C245" s="2">
        <v>798.5</v>
      </c>
      <c r="D245" s="2">
        <v>0.44</v>
      </c>
      <c r="E245" s="2">
        <v>0.97</v>
      </c>
      <c r="F245" s="2">
        <v>50.0</v>
      </c>
      <c r="G245" s="4">
        <v>44460.806463807865</v>
      </c>
      <c r="H245" s="8">
        <v>44460.0</v>
      </c>
    </row>
    <row r="246">
      <c r="A246" s="2">
        <v>3.6</v>
      </c>
      <c r="B246" s="2">
        <v>227.3</v>
      </c>
      <c r="C246" s="2">
        <v>798.4</v>
      </c>
      <c r="D246" s="2">
        <v>0.44</v>
      </c>
      <c r="E246" s="2">
        <v>0.97</v>
      </c>
      <c r="F246" s="2">
        <v>50.0</v>
      </c>
      <c r="G246" s="4">
        <v>44460.80656641204</v>
      </c>
      <c r="H246" s="8">
        <v>44460.0</v>
      </c>
    </row>
    <row r="247">
      <c r="A247" s="2">
        <v>3.6</v>
      </c>
      <c r="B247" s="2">
        <v>227.3</v>
      </c>
      <c r="C247" s="2">
        <v>798.4</v>
      </c>
      <c r="D247" s="2">
        <v>0.45</v>
      </c>
      <c r="E247" s="2">
        <v>0.97</v>
      </c>
      <c r="F247" s="2">
        <v>50.0</v>
      </c>
      <c r="G247" s="4">
        <v>44460.806664247684</v>
      </c>
      <c r="H247" s="8">
        <v>44460.0</v>
      </c>
    </row>
    <row r="248">
      <c r="A248" s="2">
        <v>3.6</v>
      </c>
      <c r="B248" s="2">
        <v>227.4</v>
      </c>
      <c r="C248" s="2">
        <v>798.4</v>
      </c>
      <c r="D248" s="2">
        <v>0.45</v>
      </c>
      <c r="E248" s="2">
        <v>0.97</v>
      </c>
      <c r="F248" s="2">
        <v>50.0</v>
      </c>
      <c r="G248" s="4">
        <v>44460.806766724534</v>
      </c>
      <c r="H248" s="8">
        <v>44460.0</v>
      </c>
    </row>
    <row r="249">
      <c r="A249" s="2">
        <v>3.6</v>
      </c>
      <c r="B249" s="2">
        <v>227.4</v>
      </c>
      <c r="C249" s="2">
        <v>798.5</v>
      </c>
      <c r="D249" s="2">
        <v>0.45</v>
      </c>
      <c r="E249" s="2">
        <v>0.97</v>
      </c>
      <c r="F249" s="2">
        <v>50.0</v>
      </c>
      <c r="G249" s="4">
        <v>44460.80686927083</v>
      </c>
      <c r="H249" s="8">
        <v>44460.0</v>
      </c>
    </row>
    <row r="250">
      <c r="A250" s="2">
        <v>3.61</v>
      </c>
      <c r="B250" s="2">
        <v>227.3</v>
      </c>
      <c r="C250" s="2">
        <v>798.6</v>
      </c>
      <c r="D250" s="2">
        <v>0.45</v>
      </c>
      <c r="E250" s="2">
        <v>0.97</v>
      </c>
      <c r="F250" s="2">
        <v>50.0</v>
      </c>
      <c r="G250" s="4">
        <v>44460.80696732639</v>
      </c>
      <c r="H250" s="8">
        <v>44460.0</v>
      </c>
    </row>
    <row r="251">
      <c r="A251" s="2">
        <v>3.61</v>
      </c>
      <c r="B251" s="2">
        <v>227.0</v>
      </c>
      <c r="C251" s="2">
        <v>798.7</v>
      </c>
      <c r="D251" s="2">
        <v>0.46</v>
      </c>
      <c r="E251" s="2">
        <v>0.97</v>
      </c>
      <c r="F251" s="2">
        <v>50.0</v>
      </c>
      <c r="G251" s="4">
        <v>44460.807091724535</v>
      </c>
      <c r="H251" s="8">
        <v>44460.0</v>
      </c>
    </row>
    <row r="252">
      <c r="A252" s="2">
        <v>3.61</v>
      </c>
      <c r="B252" s="2">
        <v>226.9</v>
      </c>
      <c r="C252" s="2">
        <v>798.7</v>
      </c>
      <c r="D252" s="2">
        <v>0.46</v>
      </c>
      <c r="E252" s="2">
        <v>0.97</v>
      </c>
      <c r="F252" s="2">
        <v>49.9</v>
      </c>
      <c r="G252" s="4">
        <v>44460.80719608796</v>
      </c>
      <c r="H252" s="8">
        <v>44460.0</v>
      </c>
    </row>
    <row r="253">
      <c r="A253" s="2">
        <v>3.61</v>
      </c>
      <c r="B253" s="2">
        <v>226.9</v>
      </c>
      <c r="C253" s="2">
        <v>798.8</v>
      </c>
      <c r="D253" s="2">
        <v>0.46</v>
      </c>
      <c r="E253" s="2">
        <v>0.97</v>
      </c>
      <c r="F253" s="2">
        <v>49.9</v>
      </c>
      <c r="G253" s="4">
        <v>44460.80729737268</v>
      </c>
      <c r="H253" s="8">
        <v>44460.0</v>
      </c>
    </row>
    <row r="254">
      <c r="A254" s="2">
        <v>3.61</v>
      </c>
      <c r="B254" s="2">
        <v>226.9</v>
      </c>
      <c r="C254" s="2">
        <v>798.8</v>
      </c>
      <c r="D254" s="2">
        <v>0.46</v>
      </c>
      <c r="E254" s="2">
        <v>0.97</v>
      </c>
      <c r="F254" s="2">
        <v>49.9</v>
      </c>
      <c r="G254" s="4">
        <v>44460.807396006945</v>
      </c>
      <c r="H254" s="8">
        <v>44460.0</v>
      </c>
    </row>
    <row r="255">
      <c r="A255" s="2">
        <v>3.61</v>
      </c>
      <c r="B255" s="2">
        <v>227.2</v>
      </c>
      <c r="C255" s="2">
        <v>798.9</v>
      </c>
      <c r="D255" s="2">
        <v>0.46</v>
      </c>
      <c r="E255" s="2">
        <v>0.97</v>
      </c>
      <c r="F255" s="2">
        <v>49.9</v>
      </c>
      <c r="G255" s="4">
        <v>44460.8074974537</v>
      </c>
      <c r="H255" s="8">
        <v>44460.0</v>
      </c>
    </row>
    <row r="256">
      <c r="A256" s="2">
        <v>3.61</v>
      </c>
      <c r="B256" s="2">
        <v>227.1</v>
      </c>
      <c r="C256" s="2">
        <v>799.0</v>
      </c>
      <c r="D256" s="2">
        <v>0.47</v>
      </c>
      <c r="E256" s="2">
        <v>0.97</v>
      </c>
      <c r="F256" s="2">
        <v>49.9</v>
      </c>
      <c r="G256" s="4">
        <v>44460.807601423614</v>
      </c>
      <c r="H256" s="8">
        <v>44460.0</v>
      </c>
    </row>
    <row r="257">
      <c r="A257" s="2">
        <v>3.61</v>
      </c>
      <c r="B257" s="2">
        <v>227.1</v>
      </c>
      <c r="C257" s="2">
        <v>799.0</v>
      </c>
      <c r="D257" s="2">
        <v>0.47</v>
      </c>
      <c r="E257" s="2">
        <v>0.97</v>
      </c>
      <c r="F257" s="2">
        <v>50.0</v>
      </c>
      <c r="G257" s="4">
        <v>44460.80769990741</v>
      </c>
      <c r="H257" s="8">
        <v>44460.0</v>
      </c>
    </row>
    <row r="258">
      <c r="A258" s="2">
        <v>3.61</v>
      </c>
      <c r="B258" s="2">
        <v>227.2</v>
      </c>
      <c r="C258" s="2">
        <v>799.0</v>
      </c>
      <c r="D258" s="2">
        <v>0.47</v>
      </c>
      <c r="E258" s="2">
        <v>0.97</v>
      </c>
      <c r="F258" s="2">
        <v>50.0</v>
      </c>
      <c r="G258" s="4">
        <v>44460.80779872685</v>
      </c>
      <c r="H258" s="8">
        <v>44460.0</v>
      </c>
    </row>
    <row r="259">
      <c r="A259" s="2">
        <v>3.61</v>
      </c>
      <c r="B259" s="2">
        <v>227.2</v>
      </c>
      <c r="C259" s="2">
        <v>799.1</v>
      </c>
      <c r="D259" s="2">
        <v>0.47</v>
      </c>
      <c r="E259" s="2">
        <v>0.97</v>
      </c>
      <c r="F259" s="2">
        <v>50.0</v>
      </c>
      <c r="G259" s="4">
        <v>44460.807895833335</v>
      </c>
      <c r="H259" s="8">
        <v>44460.0</v>
      </c>
    </row>
    <row r="260">
      <c r="A260" s="2">
        <v>3.61</v>
      </c>
      <c r="B260" s="2">
        <v>227.3</v>
      </c>
      <c r="C260" s="2">
        <v>799.1</v>
      </c>
      <c r="D260" s="2">
        <v>0.47</v>
      </c>
      <c r="E260" s="2">
        <v>0.97</v>
      </c>
      <c r="F260" s="2">
        <v>50.0</v>
      </c>
      <c r="G260" s="4">
        <v>44460.8079934375</v>
      </c>
      <c r="H260" s="8">
        <v>44460.0</v>
      </c>
    </row>
    <row r="261">
      <c r="A261" s="2">
        <v>3.61</v>
      </c>
      <c r="B261" s="2">
        <v>227.3</v>
      </c>
      <c r="C261" s="2">
        <v>799.1</v>
      </c>
      <c r="D261" s="2">
        <v>0.47</v>
      </c>
      <c r="E261" s="2">
        <v>0.97</v>
      </c>
      <c r="F261" s="2">
        <v>50.0</v>
      </c>
      <c r="G261" s="4">
        <v>44460.80809162037</v>
      </c>
      <c r="H261" s="8">
        <v>44460.0</v>
      </c>
    </row>
    <row r="262">
      <c r="A262" s="2">
        <v>3.61</v>
      </c>
      <c r="B262" s="2">
        <v>227.3</v>
      </c>
      <c r="C262" s="2">
        <v>799.2</v>
      </c>
      <c r="D262" s="2">
        <v>0.48</v>
      </c>
      <c r="E262" s="2">
        <v>0.97</v>
      </c>
      <c r="F262" s="2">
        <v>49.9</v>
      </c>
      <c r="G262" s="4">
        <v>44460.80818761574</v>
      </c>
      <c r="H262" s="8">
        <v>44460.0</v>
      </c>
    </row>
    <row r="263">
      <c r="A263" s="2">
        <v>3.61</v>
      </c>
      <c r="B263" s="2">
        <v>227.2</v>
      </c>
      <c r="C263" s="2">
        <v>799.3</v>
      </c>
      <c r="D263" s="2">
        <v>0.48</v>
      </c>
      <c r="E263" s="2">
        <v>0.97</v>
      </c>
      <c r="F263" s="2">
        <v>49.9</v>
      </c>
      <c r="G263" s="4">
        <v>44460.80828212963</v>
      </c>
      <c r="H263" s="8">
        <v>44460.0</v>
      </c>
    </row>
    <row r="264">
      <c r="A264" s="2">
        <v>3.61</v>
      </c>
      <c r="B264" s="2">
        <v>227.1</v>
      </c>
      <c r="C264" s="2">
        <v>799.3</v>
      </c>
      <c r="D264" s="2">
        <v>0.48</v>
      </c>
      <c r="E264" s="2">
        <v>0.97</v>
      </c>
      <c r="F264" s="2">
        <v>49.9</v>
      </c>
      <c r="G264" s="4">
        <v>44460.808381875</v>
      </c>
      <c r="H264" s="8">
        <v>44460.0</v>
      </c>
    </row>
    <row r="265">
      <c r="A265" s="2">
        <v>3.61</v>
      </c>
      <c r="B265" s="2">
        <v>227.2</v>
      </c>
      <c r="C265" s="2">
        <v>799.4</v>
      </c>
      <c r="D265" s="2">
        <v>0.48</v>
      </c>
      <c r="E265" s="2">
        <v>0.97</v>
      </c>
      <c r="F265" s="2">
        <v>49.9</v>
      </c>
      <c r="G265" s="4">
        <v>44460.80847592592</v>
      </c>
      <c r="H265" s="8">
        <v>44460.0</v>
      </c>
    </row>
    <row r="266">
      <c r="A266" s="2">
        <v>3.61</v>
      </c>
      <c r="B266" s="2">
        <v>227.2</v>
      </c>
      <c r="C266" s="2">
        <v>799.4</v>
      </c>
      <c r="D266" s="2">
        <v>0.48</v>
      </c>
      <c r="E266" s="2">
        <v>0.97</v>
      </c>
      <c r="F266" s="2">
        <v>49.9</v>
      </c>
      <c r="G266" s="4">
        <v>44460.80857129629</v>
      </c>
      <c r="H266" s="8">
        <v>44460.0</v>
      </c>
    </row>
    <row r="267">
      <c r="A267" s="2">
        <v>3.61</v>
      </c>
      <c r="B267" s="2">
        <v>227.1</v>
      </c>
      <c r="C267" s="2">
        <v>799.5</v>
      </c>
      <c r="D267" s="2">
        <v>0.49</v>
      </c>
      <c r="E267" s="2">
        <v>0.97</v>
      </c>
      <c r="F267" s="2">
        <v>50.0</v>
      </c>
      <c r="G267" s="4">
        <v>44460.808667708334</v>
      </c>
      <c r="H267" s="8">
        <v>44460.0</v>
      </c>
    </row>
    <row r="268">
      <c r="A268" s="2">
        <v>3.61</v>
      </c>
      <c r="B268" s="2">
        <v>227.3</v>
      </c>
      <c r="C268" s="2">
        <v>799.5</v>
      </c>
      <c r="D268" s="2">
        <v>0.49</v>
      </c>
      <c r="E268" s="2">
        <v>0.97</v>
      </c>
      <c r="F268" s="2">
        <v>49.9</v>
      </c>
      <c r="G268" s="4">
        <v>44460.8087640625</v>
      </c>
      <c r="H268" s="8">
        <v>44460.0</v>
      </c>
    </row>
    <row r="269">
      <c r="A269" s="2">
        <v>3.61</v>
      </c>
      <c r="B269" s="2">
        <v>227.3</v>
      </c>
      <c r="C269" s="2">
        <v>799.5</v>
      </c>
      <c r="D269" s="2">
        <v>0.49</v>
      </c>
      <c r="E269" s="2">
        <v>0.97</v>
      </c>
      <c r="F269" s="2">
        <v>50.0</v>
      </c>
      <c r="G269" s="4">
        <v>44460.80886247686</v>
      </c>
      <c r="H269" s="8">
        <v>44460.0</v>
      </c>
    </row>
    <row r="270">
      <c r="A270" s="2">
        <v>3.61</v>
      </c>
      <c r="B270" s="2">
        <v>227.5</v>
      </c>
      <c r="C270" s="2">
        <v>799.5</v>
      </c>
      <c r="D270" s="2">
        <v>0.49</v>
      </c>
      <c r="E270" s="2">
        <v>0.97</v>
      </c>
      <c r="F270" s="2">
        <v>50.0</v>
      </c>
      <c r="G270" s="4">
        <v>44460.808963981486</v>
      </c>
      <c r="H270" s="8">
        <v>44460.0</v>
      </c>
    </row>
    <row r="271">
      <c r="A271" s="2">
        <v>3.61</v>
      </c>
      <c r="B271" s="2">
        <v>227.4</v>
      </c>
      <c r="C271" s="2">
        <v>799.6</v>
      </c>
      <c r="D271" s="2">
        <v>0.49</v>
      </c>
      <c r="E271" s="2">
        <v>0.97</v>
      </c>
      <c r="F271" s="2">
        <v>50.0</v>
      </c>
      <c r="G271" s="4">
        <v>44460.809065567126</v>
      </c>
      <c r="H271" s="8">
        <v>44460.0</v>
      </c>
    </row>
    <row r="272">
      <c r="A272" s="2">
        <v>3.61</v>
      </c>
      <c r="B272" s="2">
        <v>227.5</v>
      </c>
      <c r="C272" s="2">
        <v>799.7</v>
      </c>
      <c r="D272" s="2">
        <v>0.5</v>
      </c>
      <c r="E272" s="2">
        <v>0.97</v>
      </c>
      <c r="F272" s="2">
        <v>50.0</v>
      </c>
      <c r="G272" s="4">
        <v>44460.809167037034</v>
      </c>
      <c r="H272" s="8">
        <v>44460.0</v>
      </c>
    </row>
    <row r="273">
      <c r="A273" s="2">
        <v>3.61</v>
      </c>
      <c r="B273" s="2">
        <v>227.5</v>
      </c>
      <c r="C273" s="2">
        <v>799.8</v>
      </c>
      <c r="D273" s="2">
        <v>0.5</v>
      </c>
      <c r="E273" s="2">
        <v>0.97</v>
      </c>
      <c r="F273" s="2">
        <v>50.0</v>
      </c>
      <c r="G273" s="4">
        <v>44460.80927366899</v>
      </c>
      <c r="H273" s="8">
        <v>44460.0</v>
      </c>
    </row>
    <row r="274">
      <c r="A274" s="2">
        <v>3.61</v>
      </c>
      <c r="B274" s="2">
        <v>227.6</v>
      </c>
      <c r="C274" s="2">
        <v>799.7</v>
      </c>
      <c r="D274" s="2">
        <v>0.5</v>
      </c>
      <c r="E274" s="2">
        <v>0.97</v>
      </c>
      <c r="F274" s="2">
        <v>50.0</v>
      </c>
      <c r="G274" s="4">
        <v>44460.80937293981</v>
      </c>
      <c r="H274" s="8">
        <v>44460.0</v>
      </c>
    </row>
    <row r="275">
      <c r="A275" s="2">
        <v>3.61</v>
      </c>
      <c r="B275" s="2">
        <v>227.5</v>
      </c>
      <c r="C275" s="2">
        <v>799.8</v>
      </c>
      <c r="D275" s="2">
        <v>0.5</v>
      </c>
      <c r="E275" s="2">
        <v>0.97</v>
      </c>
      <c r="F275" s="2">
        <v>50.0</v>
      </c>
      <c r="G275" s="4">
        <v>44460.80947604167</v>
      </c>
      <c r="H275" s="8">
        <v>44460.0</v>
      </c>
    </row>
    <row r="276">
      <c r="A276" s="2">
        <v>3.61</v>
      </c>
      <c r="B276" s="2">
        <v>227.5</v>
      </c>
      <c r="C276" s="2">
        <v>799.9</v>
      </c>
      <c r="D276" s="2">
        <v>0.5</v>
      </c>
      <c r="E276" s="2">
        <v>0.97</v>
      </c>
      <c r="F276" s="2">
        <v>50.0</v>
      </c>
      <c r="G276" s="4">
        <v>44460.80957745371</v>
      </c>
      <c r="H276" s="8">
        <v>44460.0</v>
      </c>
    </row>
    <row r="277">
      <c r="A277" s="2">
        <v>3.61</v>
      </c>
      <c r="B277" s="2">
        <v>227.5</v>
      </c>
      <c r="C277" s="2">
        <v>799.9</v>
      </c>
      <c r="D277" s="2">
        <v>0.5</v>
      </c>
      <c r="E277" s="2">
        <v>0.97</v>
      </c>
      <c r="F277" s="2">
        <v>50.0</v>
      </c>
      <c r="G277" s="4">
        <v>44460.80968798611</v>
      </c>
      <c r="H277" s="8">
        <v>44460.0</v>
      </c>
    </row>
    <row r="278">
      <c r="A278" s="2">
        <v>3.61</v>
      </c>
      <c r="B278" s="2">
        <v>227.4</v>
      </c>
      <c r="C278" s="2">
        <v>800.0</v>
      </c>
      <c r="D278" s="2">
        <v>0.51</v>
      </c>
      <c r="E278" s="2">
        <v>0.97</v>
      </c>
      <c r="F278" s="2">
        <v>49.9</v>
      </c>
      <c r="G278" s="4">
        <v>44460.80978538195</v>
      </c>
      <c r="H278" s="8">
        <v>44460.0</v>
      </c>
    </row>
    <row r="279">
      <c r="A279" s="2">
        <v>3.61</v>
      </c>
      <c r="B279" s="2">
        <v>227.5</v>
      </c>
      <c r="C279" s="2">
        <v>800.0</v>
      </c>
      <c r="D279" s="2">
        <v>0.51</v>
      </c>
      <c r="E279" s="2">
        <v>0.97</v>
      </c>
      <c r="F279" s="2">
        <v>49.9</v>
      </c>
      <c r="G279" s="4">
        <v>44460.80988207176</v>
      </c>
      <c r="H279" s="8">
        <v>44460.0</v>
      </c>
    </row>
    <row r="280">
      <c r="A280" s="2">
        <v>3.61</v>
      </c>
      <c r="B280" s="2">
        <v>227.6</v>
      </c>
      <c r="C280" s="2">
        <v>800.0</v>
      </c>
      <c r="D280" s="2">
        <v>0.51</v>
      </c>
      <c r="E280" s="2">
        <v>0.97</v>
      </c>
      <c r="F280" s="2">
        <v>49.9</v>
      </c>
      <c r="G280" s="4">
        <v>44460.80998550926</v>
      </c>
      <c r="H280" s="8">
        <v>44460.0</v>
      </c>
    </row>
    <row r="281">
      <c r="A281" s="2">
        <v>3.61</v>
      </c>
      <c r="B281" s="2">
        <v>227.6</v>
      </c>
      <c r="C281" s="2">
        <v>800.1</v>
      </c>
      <c r="D281" s="2">
        <v>0.51</v>
      </c>
      <c r="E281" s="2">
        <v>0.97</v>
      </c>
      <c r="F281" s="2">
        <v>49.9</v>
      </c>
      <c r="G281" s="4">
        <v>44460.810085046294</v>
      </c>
      <c r="H281" s="8">
        <v>44460.0</v>
      </c>
    </row>
    <row r="282">
      <c r="A282" s="2">
        <v>3.61</v>
      </c>
      <c r="B282" s="2">
        <v>227.7</v>
      </c>
      <c r="C282" s="2">
        <v>800.1</v>
      </c>
      <c r="D282" s="2">
        <v>0.51</v>
      </c>
      <c r="E282" s="2">
        <v>0.97</v>
      </c>
      <c r="F282" s="2">
        <v>49.9</v>
      </c>
      <c r="G282" s="4">
        <v>44460.81018644676</v>
      </c>
      <c r="H282" s="8">
        <v>44460.0</v>
      </c>
    </row>
    <row r="283">
      <c r="A283" s="2">
        <v>3.61</v>
      </c>
      <c r="B283" s="2">
        <v>227.8</v>
      </c>
      <c r="C283" s="2">
        <v>800.2</v>
      </c>
      <c r="D283" s="2">
        <v>0.52</v>
      </c>
      <c r="E283" s="2">
        <v>0.97</v>
      </c>
      <c r="F283" s="2">
        <v>49.9</v>
      </c>
      <c r="G283" s="4">
        <v>44460.8102946875</v>
      </c>
      <c r="H283" s="8">
        <v>44460.0</v>
      </c>
    </row>
    <row r="284">
      <c r="A284" s="2">
        <v>3.61</v>
      </c>
      <c r="B284" s="2">
        <v>227.6</v>
      </c>
      <c r="C284" s="2">
        <v>800.2</v>
      </c>
      <c r="D284" s="2">
        <v>0.52</v>
      </c>
      <c r="E284" s="2">
        <v>0.97</v>
      </c>
      <c r="F284" s="2">
        <v>49.9</v>
      </c>
      <c r="G284" s="4">
        <v>44460.8103928125</v>
      </c>
      <c r="H284" s="8">
        <v>44460.0</v>
      </c>
    </row>
    <row r="285">
      <c r="A285" s="2">
        <v>3.61</v>
      </c>
      <c r="B285" s="2">
        <v>227.6</v>
      </c>
      <c r="C285" s="2">
        <v>800.3</v>
      </c>
      <c r="D285" s="2">
        <v>0.52</v>
      </c>
      <c r="E285" s="2">
        <v>0.97</v>
      </c>
      <c r="F285" s="2">
        <v>50.0</v>
      </c>
      <c r="G285" s="4">
        <v>44460.81049206018</v>
      </c>
      <c r="H285" s="8">
        <v>44460.0</v>
      </c>
    </row>
    <row r="286">
      <c r="A286" s="2">
        <v>3.61</v>
      </c>
      <c r="B286" s="2">
        <v>227.6</v>
      </c>
      <c r="C286" s="2">
        <v>800.3</v>
      </c>
      <c r="D286" s="2">
        <v>0.52</v>
      </c>
      <c r="E286" s="2">
        <v>0.97</v>
      </c>
      <c r="F286" s="2">
        <v>50.0</v>
      </c>
      <c r="G286" s="4">
        <v>44460.8105875926</v>
      </c>
      <c r="H286" s="8">
        <v>44460.0</v>
      </c>
    </row>
    <row r="287">
      <c r="A287" s="2">
        <v>3.61</v>
      </c>
      <c r="B287" s="2">
        <v>227.7</v>
      </c>
      <c r="C287" s="2">
        <v>800.4</v>
      </c>
      <c r="D287" s="2">
        <v>0.52</v>
      </c>
      <c r="E287" s="2">
        <v>0.97</v>
      </c>
      <c r="F287" s="2">
        <v>50.0</v>
      </c>
      <c r="G287" s="4">
        <v>44460.81068454861</v>
      </c>
      <c r="H287" s="8">
        <v>44460.0</v>
      </c>
    </row>
    <row r="288">
      <c r="A288" s="2">
        <v>3.61</v>
      </c>
      <c r="B288" s="2">
        <v>227.7</v>
      </c>
      <c r="C288" s="2">
        <v>800.4</v>
      </c>
      <c r="D288" s="2">
        <v>0.53</v>
      </c>
      <c r="E288" s="2">
        <v>0.97</v>
      </c>
      <c r="F288" s="2">
        <v>50.0</v>
      </c>
      <c r="G288" s="4">
        <v>44460.81078298611</v>
      </c>
      <c r="H288" s="8">
        <v>44460.0</v>
      </c>
    </row>
    <row r="289">
      <c r="A289" s="2">
        <v>3.61</v>
      </c>
      <c r="B289" s="2">
        <v>227.8</v>
      </c>
      <c r="C289" s="2">
        <v>800.5</v>
      </c>
      <c r="D289" s="2">
        <v>0.53</v>
      </c>
      <c r="E289" s="2">
        <v>0.97</v>
      </c>
      <c r="F289" s="2">
        <v>50.0</v>
      </c>
      <c r="G289" s="4">
        <v>44460.810879756944</v>
      </c>
      <c r="H289" s="8">
        <v>44460.0</v>
      </c>
    </row>
    <row r="290">
      <c r="A290" s="2">
        <v>3.61</v>
      </c>
      <c r="B290" s="2">
        <v>227.6</v>
      </c>
      <c r="C290" s="2">
        <v>800.5</v>
      </c>
      <c r="D290" s="2">
        <v>0.53</v>
      </c>
      <c r="E290" s="2">
        <v>0.97</v>
      </c>
      <c r="F290" s="2">
        <v>50.0</v>
      </c>
      <c r="G290" s="4">
        <v>44460.810978333335</v>
      </c>
      <c r="H290" s="8">
        <v>44460.0</v>
      </c>
    </row>
    <row r="291">
      <c r="A291" s="2">
        <v>3.61</v>
      </c>
      <c r="B291" s="2">
        <v>227.5</v>
      </c>
      <c r="C291" s="2">
        <v>800.5</v>
      </c>
      <c r="D291" s="2">
        <v>0.53</v>
      </c>
      <c r="E291" s="2">
        <v>0.97</v>
      </c>
      <c r="F291" s="2">
        <v>50.0</v>
      </c>
      <c r="G291" s="4">
        <v>44460.81108017361</v>
      </c>
      <c r="H291" s="8">
        <v>44460.0</v>
      </c>
    </row>
    <row r="292">
      <c r="A292" s="2">
        <v>3.61</v>
      </c>
      <c r="B292" s="2">
        <v>227.5</v>
      </c>
      <c r="C292" s="2">
        <v>800.6</v>
      </c>
      <c r="D292" s="2">
        <v>0.53</v>
      </c>
      <c r="E292" s="2">
        <v>0.97</v>
      </c>
      <c r="F292" s="2">
        <v>50.0</v>
      </c>
      <c r="G292" s="4">
        <v>44460.811176689815</v>
      </c>
      <c r="H292" s="8">
        <v>44460.0</v>
      </c>
    </row>
    <row r="293">
      <c r="A293" s="2">
        <v>3.61</v>
      </c>
      <c r="B293" s="2">
        <v>227.5</v>
      </c>
      <c r="C293" s="2">
        <v>800.6</v>
      </c>
      <c r="D293" s="2">
        <v>0.54</v>
      </c>
      <c r="E293" s="2">
        <v>0.97</v>
      </c>
      <c r="F293" s="2">
        <v>50.0</v>
      </c>
      <c r="G293" s="4">
        <v>44460.811274618056</v>
      </c>
      <c r="H293" s="8">
        <v>44460.0</v>
      </c>
    </row>
    <row r="294">
      <c r="A294" s="2">
        <v>3.61</v>
      </c>
      <c r="B294" s="2">
        <v>227.4</v>
      </c>
      <c r="C294" s="2">
        <v>800.7</v>
      </c>
      <c r="D294" s="2">
        <v>0.54</v>
      </c>
      <c r="E294" s="2">
        <v>0.97</v>
      </c>
      <c r="F294" s="2">
        <v>49.9</v>
      </c>
      <c r="G294" s="4">
        <v>44460.811375081015</v>
      </c>
      <c r="H294" s="8">
        <v>44460.0</v>
      </c>
    </row>
    <row r="295">
      <c r="A295" s="2">
        <v>3.61</v>
      </c>
      <c r="B295" s="2">
        <v>227.5</v>
      </c>
      <c r="C295" s="2">
        <v>800.7</v>
      </c>
      <c r="D295" s="2">
        <v>0.54</v>
      </c>
      <c r="E295" s="2">
        <v>0.97</v>
      </c>
      <c r="F295" s="2">
        <v>49.9</v>
      </c>
      <c r="G295" s="4">
        <v>44460.81147396991</v>
      </c>
      <c r="H295" s="8">
        <v>44460.0</v>
      </c>
    </row>
    <row r="296">
      <c r="A296" s="2">
        <v>3.61</v>
      </c>
      <c r="B296" s="2">
        <v>227.4</v>
      </c>
      <c r="C296" s="2">
        <v>800.7</v>
      </c>
      <c r="D296" s="2">
        <v>0.54</v>
      </c>
      <c r="E296" s="2">
        <v>0.97</v>
      </c>
      <c r="F296" s="2">
        <v>49.9</v>
      </c>
      <c r="G296" s="4">
        <v>44460.81157809027</v>
      </c>
      <c r="H296" s="8">
        <v>44460.0</v>
      </c>
    </row>
    <row r="297">
      <c r="A297" s="2">
        <v>3.61</v>
      </c>
      <c r="B297" s="2">
        <v>227.4</v>
      </c>
      <c r="C297" s="2">
        <v>800.8</v>
      </c>
      <c r="D297" s="2">
        <v>0.54</v>
      </c>
      <c r="E297" s="2">
        <v>0.97</v>
      </c>
      <c r="F297" s="2">
        <v>50.0</v>
      </c>
      <c r="G297" s="4">
        <v>44460.811679108796</v>
      </c>
      <c r="H297" s="8">
        <v>44460.0</v>
      </c>
    </row>
    <row r="298">
      <c r="A298" s="2">
        <v>3.61</v>
      </c>
      <c r="B298" s="2">
        <v>227.5</v>
      </c>
      <c r="C298" s="2">
        <v>800.9</v>
      </c>
      <c r="D298" s="2">
        <v>0.55</v>
      </c>
      <c r="E298" s="2">
        <v>0.97</v>
      </c>
      <c r="F298" s="2">
        <v>50.0</v>
      </c>
      <c r="G298" s="4">
        <v>44460.811774375004</v>
      </c>
      <c r="H298" s="8">
        <v>44460.0</v>
      </c>
    </row>
    <row r="299">
      <c r="A299" s="2">
        <v>3.61</v>
      </c>
      <c r="B299" s="2">
        <v>227.4</v>
      </c>
      <c r="C299" s="2">
        <v>800.8</v>
      </c>
      <c r="D299" s="2">
        <v>0.55</v>
      </c>
      <c r="E299" s="2">
        <v>0.97</v>
      </c>
      <c r="F299" s="2">
        <v>49.9</v>
      </c>
      <c r="G299" s="4">
        <v>44460.81186954861</v>
      </c>
      <c r="H299" s="8">
        <v>44460.0</v>
      </c>
    </row>
    <row r="300">
      <c r="A300" s="2">
        <v>3.61</v>
      </c>
      <c r="B300" s="2">
        <v>227.6</v>
      </c>
      <c r="C300" s="2">
        <v>800.9</v>
      </c>
      <c r="D300" s="2">
        <v>0.55</v>
      </c>
      <c r="E300" s="2">
        <v>0.97</v>
      </c>
      <c r="F300" s="2">
        <v>50.0</v>
      </c>
      <c r="G300" s="4">
        <v>44460.81196478009</v>
      </c>
      <c r="H300" s="8">
        <v>44460.0</v>
      </c>
    </row>
    <row r="301">
      <c r="A301" s="2">
        <v>3.61</v>
      </c>
      <c r="B301" s="2">
        <v>227.6</v>
      </c>
      <c r="C301" s="2">
        <v>800.9</v>
      </c>
      <c r="D301" s="2">
        <v>0.55</v>
      </c>
      <c r="E301" s="2">
        <v>0.97</v>
      </c>
      <c r="F301" s="2">
        <v>50.0</v>
      </c>
      <c r="G301" s="4">
        <v>44460.81205962963</v>
      </c>
      <c r="H301" s="8">
        <v>44460.0</v>
      </c>
    </row>
    <row r="302">
      <c r="A302" s="2">
        <v>3.61</v>
      </c>
      <c r="B302" s="2">
        <v>227.6</v>
      </c>
      <c r="C302" s="2">
        <v>801.0</v>
      </c>
      <c r="D302" s="2">
        <v>0.55</v>
      </c>
      <c r="E302" s="2">
        <v>0.97</v>
      </c>
      <c r="F302" s="2">
        <v>50.0</v>
      </c>
      <c r="G302" s="4">
        <v>44460.81216083333</v>
      </c>
      <c r="H302" s="8">
        <v>44460.0</v>
      </c>
    </row>
    <row r="303">
      <c r="A303" s="2">
        <v>3.61</v>
      </c>
      <c r="B303" s="2">
        <v>227.6</v>
      </c>
      <c r="C303" s="2">
        <v>801.0</v>
      </c>
      <c r="D303" s="2">
        <v>0.56</v>
      </c>
      <c r="E303" s="2">
        <v>0.97</v>
      </c>
      <c r="F303" s="2">
        <v>50.0</v>
      </c>
      <c r="G303" s="4">
        <v>44460.81225861111</v>
      </c>
      <c r="H303" s="8">
        <v>44460.0</v>
      </c>
    </row>
    <row r="304">
      <c r="A304" s="2">
        <v>3.61</v>
      </c>
      <c r="B304" s="2">
        <v>227.5</v>
      </c>
      <c r="C304" s="2">
        <v>801.1</v>
      </c>
      <c r="D304" s="2">
        <v>0.56</v>
      </c>
      <c r="E304" s="2">
        <v>0.97</v>
      </c>
      <c r="F304" s="2">
        <v>50.0</v>
      </c>
      <c r="G304" s="4">
        <v>44460.812357303235</v>
      </c>
      <c r="H304" s="8">
        <v>44460.0</v>
      </c>
    </row>
    <row r="305">
      <c r="A305" s="2">
        <v>3.62</v>
      </c>
      <c r="B305" s="2">
        <v>227.4</v>
      </c>
      <c r="C305" s="2">
        <v>801.2</v>
      </c>
      <c r="D305" s="2">
        <v>0.56</v>
      </c>
      <c r="E305" s="2">
        <v>0.97</v>
      </c>
      <c r="F305" s="2">
        <v>50.0</v>
      </c>
      <c r="G305" s="4">
        <v>44460.812459189816</v>
      </c>
      <c r="H305" s="8">
        <v>44460.0</v>
      </c>
    </row>
    <row r="306">
      <c r="A306" s="2">
        <v>3.62</v>
      </c>
      <c r="B306" s="2">
        <v>227.4</v>
      </c>
      <c r="C306" s="2">
        <v>801.1</v>
      </c>
      <c r="D306" s="2">
        <v>0.56</v>
      </c>
      <c r="E306" s="2">
        <v>0.97</v>
      </c>
      <c r="F306" s="2">
        <v>50.0</v>
      </c>
      <c r="G306" s="4">
        <v>44460.81255674768</v>
      </c>
      <c r="H306" s="8">
        <v>44460.0</v>
      </c>
    </row>
    <row r="307">
      <c r="A307" s="2">
        <v>3.62</v>
      </c>
      <c r="B307" s="2">
        <v>227.4</v>
      </c>
      <c r="C307" s="2">
        <v>801.2</v>
      </c>
      <c r="D307" s="2">
        <v>0.56</v>
      </c>
      <c r="E307" s="2">
        <v>0.97</v>
      </c>
      <c r="F307" s="2">
        <v>50.0</v>
      </c>
      <c r="G307" s="4">
        <v>44460.81265576389</v>
      </c>
      <c r="H307" s="8">
        <v>44460.0</v>
      </c>
    </row>
    <row r="308">
      <c r="A308" s="2">
        <v>3.62</v>
      </c>
      <c r="B308" s="2">
        <v>227.4</v>
      </c>
      <c r="C308" s="2">
        <v>801.3</v>
      </c>
      <c r="D308" s="2">
        <v>0.56</v>
      </c>
      <c r="E308" s="2">
        <v>0.97</v>
      </c>
      <c r="F308" s="2">
        <v>50.0</v>
      </c>
      <c r="G308" s="4">
        <v>44460.812755335646</v>
      </c>
      <c r="H308" s="8">
        <v>44460.0</v>
      </c>
    </row>
    <row r="309">
      <c r="A309" s="2">
        <v>3.62</v>
      </c>
      <c r="B309" s="2">
        <v>227.4</v>
      </c>
      <c r="C309" s="2">
        <v>801.3</v>
      </c>
      <c r="D309" s="2">
        <v>0.57</v>
      </c>
      <c r="E309" s="2">
        <v>0.97</v>
      </c>
      <c r="F309" s="2">
        <v>50.0</v>
      </c>
      <c r="G309" s="4">
        <v>44460.81285702546</v>
      </c>
      <c r="H309" s="8">
        <v>44460.0</v>
      </c>
    </row>
    <row r="310">
      <c r="A310" s="2">
        <v>3.62</v>
      </c>
      <c r="B310" s="2">
        <v>227.4</v>
      </c>
      <c r="C310" s="2">
        <v>801.4</v>
      </c>
      <c r="D310" s="2">
        <v>0.57</v>
      </c>
      <c r="E310" s="2">
        <v>0.97</v>
      </c>
      <c r="F310" s="2">
        <v>50.0</v>
      </c>
      <c r="G310" s="4">
        <v>44460.81295798611</v>
      </c>
      <c r="H310" s="8">
        <v>44460.0</v>
      </c>
    </row>
    <row r="311">
      <c r="A311" s="2">
        <v>3.61</v>
      </c>
      <c r="B311" s="2">
        <v>227.7</v>
      </c>
      <c r="C311" s="2">
        <v>801.3</v>
      </c>
      <c r="D311" s="2">
        <v>0.57</v>
      </c>
      <c r="E311" s="2">
        <v>0.97</v>
      </c>
      <c r="F311" s="2">
        <v>50.0</v>
      </c>
      <c r="G311" s="4">
        <v>44460.81305600694</v>
      </c>
      <c r="H311" s="8">
        <v>44460.0</v>
      </c>
    </row>
    <row r="312">
      <c r="A312" s="2">
        <v>3.61</v>
      </c>
      <c r="B312" s="2">
        <v>227.7</v>
      </c>
      <c r="C312" s="2">
        <v>801.5</v>
      </c>
      <c r="D312" s="2">
        <v>0.57</v>
      </c>
      <c r="E312" s="2">
        <v>0.97</v>
      </c>
      <c r="F312" s="2">
        <v>50.0</v>
      </c>
      <c r="G312" s="4">
        <v>44460.81315133102</v>
      </c>
      <c r="H312" s="8">
        <v>44460.0</v>
      </c>
    </row>
    <row r="313">
      <c r="A313" s="2">
        <v>3.61</v>
      </c>
      <c r="B313" s="2">
        <v>227.5</v>
      </c>
      <c r="C313" s="2">
        <v>801.5</v>
      </c>
      <c r="D313" s="2">
        <v>0.57</v>
      </c>
      <c r="E313" s="2">
        <v>0.97</v>
      </c>
      <c r="F313" s="2">
        <v>50.0</v>
      </c>
      <c r="G313" s="4">
        <v>44460.81324684028</v>
      </c>
      <c r="H313" s="8">
        <v>44460.0</v>
      </c>
    </row>
    <row r="314">
      <c r="A314" s="2">
        <v>3.61</v>
      </c>
      <c r="B314" s="2">
        <v>227.8</v>
      </c>
      <c r="C314" s="2">
        <v>801.6</v>
      </c>
      <c r="D314" s="2">
        <v>0.57</v>
      </c>
      <c r="E314" s="2">
        <v>0.97</v>
      </c>
      <c r="F314" s="2">
        <v>50.0</v>
      </c>
      <c r="G314" s="4">
        <v>44460.81334451389</v>
      </c>
      <c r="H314" s="8">
        <v>44460.0</v>
      </c>
    </row>
    <row r="315">
      <c r="A315" s="2">
        <v>3.61</v>
      </c>
      <c r="B315" s="2">
        <v>227.7</v>
      </c>
      <c r="C315" s="2">
        <v>801.6</v>
      </c>
      <c r="D315" s="2">
        <v>0.58</v>
      </c>
      <c r="E315" s="2">
        <v>0.97</v>
      </c>
      <c r="F315" s="2">
        <v>50.0</v>
      </c>
      <c r="G315" s="4">
        <v>44460.81344763889</v>
      </c>
      <c r="H315" s="8">
        <v>44460.0</v>
      </c>
    </row>
    <row r="316">
      <c r="A316" s="2">
        <v>3.61</v>
      </c>
      <c r="B316" s="2">
        <v>227.8</v>
      </c>
      <c r="C316" s="2">
        <v>801.6</v>
      </c>
      <c r="D316" s="2">
        <v>0.58</v>
      </c>
      <c r="E316" s="2">
        <v>0.97</v>
      </c>
      <c r="F316" s="2">
        <v>50.0</v>
      </c>
      <c r="G316" s="4">
        <v>44460.813543634256</v>
      </c>
      <c r="H316" s="8">
        <v>44460.0</v>
      </c>
    </row>
    <row r="317">
      <c r="A317" s="2">
        <v>3.61</v>
      </c>
      <c r="B317" s="2">
        <v>227.7</v>
      </c>
      <c r="C317" s="2">
        <v>801.6</v>
      </c>
      <c r="D317" s="2">
        <v>0.58</v>
      </c>
      <c r="E317" s="2">
        <v>0.97</v>
      </c>
      <c r="F317" s="2">
        <v>50.0</v>
      </c>
      <c r="G317" s="4">
        <v>44460.813644444446</v>
      </c>
      <c r="H317" s="8">
        <v>44460.0</v>
      </c>
    </row>
    <row r="318">
      <c r="A318" s="2">
        <v>3.61</v>
      </c>
      <c r="B318" s="2">
        <v>227.7</v>
      </c>
      <c r="C318" s="2">
        <v>801.7</v>
      </c>
      <c r="D318" s="2">
        <v>0.58</v>
      </c>
      <c r="E318" s="2">
        <v>0.97</v>
      </c>
      <c r="F318" s="2">
        <v>50.0</v>
      </c>
      <c r="G318" s="4">
        <v>44460.81375090277</v>
      </c>
      <c r="H318" s="8">
        <v>44460.0</v>
      </c>
    </row>
    <row r="319">
      <c r="A319" s="2">
        <v>3.62</v>
      </c>
      <c r="B319" s="2">
        <v>227.5</v>
      </c>
      <c r="C319" s="2">
        <v>801.7</v>
      </c>
      <c r="D319" s="2">
        <v>0.58</v>
      </c>
      <c r="E319" s="2">
        <v>0.97</v>
      </c>
      <c r="F319" s="2">
        <v>49.9</v>
      </c>
      <c r="G319" s="4">
        <v>44460.813859120375</v>
      </c>
      <c r="H319" s="8">
        <v>44460.0</v>
      </c>
    </row>
    <row r="320">
      <c r="A320" s="2">
        <v>3.62</v>
      </c>
      <c r="B320" s="2">
        <v>227.5</v>
      </c>
      <c r="C320" s="2">
        <v>801.8</v>
      </c>
      <c r="D320" s="2">
        <v>0.59</v>
      </c>
      <c r="E320" s="2">
        <v>0.97</v>
      </c>
      <c r="F320" s="2">
        <v>50.0</v>
      </c>
      <c r="G320" s="4">
        <v>44460.81396597222</v>
      </c>
      <c r="H320" s="8">
        <v>44460.0</v>
      </c>
    </row>
    <row r="321">
      <c r="A321" s="2">
        <v>3.62</v>
      </c>
      <c r="B321" s="2">
        <v>227.4</v>
      </c>
      <c r="C321" s="2">
        <v>801.8</v>
      </c>
      <c r="D321" s="2">
        <v>0.59</v>
      </c>
      <c r="E321" s="2">
        <v>0.97</v>
      </c>
      <c r="F321" s="2">
        <v>50.0</v>
      </c>
      <c r="G321" s="4">
        <v>44460.81406469907</v>
      </c>
      <c r="H321" s="8">
        <v>44460.0</v>
      </c>
    </row>
    <row r="322">
      <c r="A322" s="2">
        <v>3.62</v>
      </c>
      <c r="B322" s="2">
        <v>227.4</v>
      </c>
      <c r="C322" s="2">
        <v>801.9</v>
      </c>
      <c r="D322" s="2">
        <v>0.59</v>
      </c>
      <c r="E322" s="2">
        <v>0.97</v>
      </c>
      <c r="F322" s="2">
        <v>50.0</v>
      </c>
      <c r="G322" s="4">
        <v>44460.81416260416</v>
      </c>
      <c r="H322" s="8">
        <v>44460.0</v>
      </c>
    </row>
    <row r="323">
      <c r="A323" s="2">
        <v>3.62</v>
      </c>
      <c r="B323" s="2">
        <v>227.6</v>
      </c>
      <c r="C323" s="2">
        <v>802.0</v>
      </c>
      <c r="D323" s="2">
        <v>0.59</v>
      </c>
      <c r="E323" s="2">
        <v>0.97</v>
      </c>
      <c r="F323" s="2">
        <v>50.0</v>
      </c>
      <c r="G323" s="4">
        <v>44460.81426457176</v>
      </c>
      <c r="H323" s="8">
        <v>44460.0</v>
      </c>
    </row>
    <row r="324">
      <c r="A324" s="2">
        <v>3.62</v>
      </c>
      <c r="B324" s="2">
        <v>227.6</v>
      </c>
      <c r="C324" s="2">
        <v>802.0</v>
      </c>
      <c r="D324" s="2">
        <v>0.6</v>
      </c>
      <c r="E324" s="2">
        <v>0.97</v>
      </c>
      <c r="F324" s="2">
        <v>50.0</v>
      </c>
      <c r="G324" s="4">
        <v>44460.81436611111</v>
      </c>
      <c r="H324" s="8">
        <v>44460.0</v>
      </c>
    </row>
    <row r="325">
      <c r="A325" s="2">
        <v>3.62</v>
      </c>
      <c r="B325" s="2">
        <v>227.5</v>
      </c>
      <c r="C325" s="2">
        <v>802.0</v>
      </c>
      <c r="D325" s="2">
        <v>0.6</v>
      </c>
      <c r="E325" s="2">
        <v>0.97</v>
      </c>
      <c r="F325" s="2">
        <v>50.0</v>
      </c>
      <c r="G325" s="4">
        <v>44460.81447063657</v>
      </c>
      <c r="H325" s="8">
        <v>44460.0</v>
      </c>
    </row>
    <row r="326">
      <c r="A326" s="2">
        <v>3.62</v>
      </c>
      <c r="B326" s="2">
        <v>227.5</v>
      </c>
      <c r="C326" s="2">
        <v>802.2</v>
      </c>
      <c r="D326" s="2">
        <v>0.6</v>
      </c>
      <c r="E326" s="2">
        <v>0.97</v>
      </c>
      <c r="F326" s="2">
        <v>50.0</v>
      </c>
      <c r="G326" s="4">
        <v>44460.81457421296</v>
      </c>
      <c r="H326" s="8">
        <v>44460.0</v>
      </c>
    </row>
    <row r="327">
      <c r="A327" s="2">
        <v>3.62</v>
      </c>
      <c r="B327" s="2">
        <v>227.6</v>
      </c>
      <c r="C327" s="2">
        <v>802.2</v>
      </c>
      <c r="D327" s="2">
        <v>0.6</v>
      </c>
      <c r="E327" s="2">
        <v>0.97</v>
      </c>
      <c r="F327" s="2">
        <v>50.0</v>
      </c>
      <c r="G327" s="4">
        <v>44460.81467594908</v>
      </c>
      <c r="H327" s="8">
        <v>44460.0</v>
      </c>
    </row>
    <row r="328">
      <c r="A328" s="2">
        <v>3.62</v>
      </c>
      <c r="B328" s="2">
        <v>227.6</v>
      </c>
      <c r="C328" s="2">
        <v>802.2</v>
      </c>
      <c r="D328" s="2">
        <v>0.6</v>
      </c>
      <c r="E328" s="2">
        <v>0.97</v>
      </c>
      <c r="F328" s="2">
        <v>50.0</v>
      </c>
      <c r="G328" s="4">
        <v>44460.814773101854</v>
      </c>
      <c r="H328" s="8">
        <v>44460.0</v>
      </c>
    </row>
    <row r="329">
      <c r="A329" s="2">
        <v>3.62</v>
      </c>
      <c r="B329" s="2">
        <v>227.7</v>
      </c>
      <c r="C329" s="2">
        <v>802.3</v>
      </c>
      <c r="D329" s="2">
        <v>0.61</v>
      </c>
      <c r="E329" s="2">
        <v>0.97</v>
      </c>
      <c r="F329" s="2">
        <v>50.0</v>
      </c>
      <c r="G329" s="4">
        <v>44460.81486936343</v>
      </c>
      <c r="H329" s="8">
        <v>44460.0</v>
      </c>
    </row>
    <row r="330">
      <c r="A330" s="2">
        <v>3.61</v>
      </c>
      <c r="B330" s="2">
        <v>227.8</v>
      </c>
      <c r="C330" s="2">
        <v>802.3</v>
      </c>
      <c r="D330" s="2">
        <v>0.61</v>
      </c>
      <c r="E330" s="2">
        <v>0.97</v>
      </c>
      <c r="F330" s="2">
        <v>50.0</v>
      </c>
      <c r="G330" s="4">
        <v>44460.814967858794</v>
      </c>
      <c r="H330" s="8">
        <v>44460.0</v>
      </c>
    </row>
    <row r="331">
      <c r="A331" s="2">
        <v>3.61</v>
      </c>
      <c r="B331" s="2">
        <v>227.9</v>
      </c>
      <c r="C331" s="2">
        <v>802.4</v>
      </c>
      <c r="D331" s="2">
        <v>0.61</v>
      </c>
      <c r="E331" s="2">
        <v>0.97</v>
      </c>
      <c r="F331" s="2">
        <v>50.0</v>
      </c>
      <c r="G331" s="4">
        <v>44460.81508035879</v>
      </c>
      <c r="H331" s="8">
        <v>44460.0</v>
      </c>
    </row>
    <row r="332">
      <c r="A332" s="2">
        <v>3.61</v>
      </c>
      <c r="B332" s="2">
        <v>227.9</v>
      </c>
      <c r="C332" s="2">
        <v>802.3</v>
      </c>
      <c r="D332" s="2">
        <v>0.61</v>
      </c>
      <c r="E332" s="2">
        <v>0.97</v>
      </c>
      <c r="F332" s="2">
        <v>50.0</v>
      </c>
      <c r="G332" s="4">
        <v>44460.81520622685</v>
      </c>
      <c r="H332" s="8">
        <v>44460.0</v>
      </c>
    </row>
    <row r="333">
      <c r="A333" s="2">
        <v>3.61</v>
      </c>
      <c r="B333" s="2">
        <v>227.9</v>
      </c>
      <c r="C333" s="2">
        <v>802.5</v>
      </c>
      <c r="D333" s="2">
        <v>0.61</v>
      </c>
      <c r="E333" s="2">
        <v>0.97</v>
      </c>
      <c r="F333" s="2">
        <v>50.0</v>
      </c>
      <c r="G333" s="4">
        <v>44460.815306296296</v>
      </c>
      <c r="H333" s="8">
        <v>44460.0</v>
      </c>
    </row>
    <row r="334">
      <c r="A334" s="2">
        <v>3.61</v>
      </c>
      <c r="B334" s="2">
        <v>228.0</v>
      </c>
      <c r="C334" s="2">
        <v>802.5</v>
      </c>
      <c r="D334" s="2">
        <v>0.62</v>
      </c>
      <c r="E334" s="2">
        <v>0.97</v>
      </c>
      <c r="F334" s="2">
        <v>50.0</v>
      </c>
      <c r="G334" s="4">
        <v>44460.81541594907</v>
      </c>
      <c r="H334" s="8">
        <v>44460.0</v>
      </c>
    </row>
    <row r="335">
      <c r="A335" s="2">
        <v>3.61</v>
      </c>
      <c r="B335" s="2">
        <v>227.9</v>
      </c>
      <c r="C335" s="2">
        <v>802.6</v>
      </c>
      <c r="D335" s="2">
        <v>0.62</v>
      </c>
      <c r="E335" s="2">
        <v>0.97</v>
      </c>
      <c r="F335" s="2">
        <v>50.0</v>
      </c>
      <c r="G335" s="4">
        <v>44460.81551983797</v>
      </c>
      <c r="H335" s="8">
        <v>44460.0</v>
      </c>
    </row>
    <row r="336">
      <c r="A336" s="2">
        <v>3.62</v>
      </c>
      <c r="B336" s="2">
        <v>227.8</v>
      </c>
      <c r="C336" s="2">
        <v>802.7</v>
      </c>
      <c r="D336" s="2">
        <v>0.62</v>
      </c>
      <c r="E336" s="2">
        <v>0.97</v>
      </c>
      <c r="F336" s="2">
        <v>50.0</v>
      </c>
      <c r="G336" s="4">
        <v>44460.81561542824</v>
      </c>
      <c r="H336" s="8">
        <v>44460.0</v>
      </c>
    </row>
    <row r="337">
      <c r="A337" s="2">
        <v>3.62</v>
      </c>
      <c r="B337" s="2">
        <v>227.8</v>
      </c>
      <c r="C337" s="2">
        <v>802.7</v>
      </c>
      <c r="D337" s="2">
        <v>0.62</v>
      </c>
      <c r="E337" s="2">
        <v>0.97</v>
      </c>
      <c r="F337" s="2">
        <v>50.0</v>
      </c>
      <c r="G337" s="4">
        <v>44460.81571260416</v>
      </c>
      <c r="H337" s="8">
        <v>44460.0</v>
      </c>
    </row>
    <row r="338">
      <c r="A338" s="2">
        <v>3.62</v>
      </c>
      <c r="B338" s="2">
        <v>227.8</v>
      </c>
      <c r="C338" s="2">
        <v>802.8</v>
      </c>
      <c r="D338" s="2">
        <v>0.62</v>
      </c>
      <c r="E338" s="2">
        <v>0.97</v>
      </c>
      <c r="F338" s="2">
        <v>50.0</v>
      </c>
      <c r="G338" s="4">
        <v>44460.815810555556</v>
      </c>
      <c r="H338" s="8">
        <v>44460.0</v>
      </c>
    </row>
    <row r="339">
      <c r="A339" s="2">
        <v>3.62</v>
      </c>
      <c r="B339" s="2">
        <v>227.9</v>
      </c>
      <c r="C339" s="2">
        <v>802.8</v>
      </c>
      <c r="D339" s="2">
        <v>0.63</v>
      </c>
      <c r="E339" s="2">
        <v>0.97</v>
      </c>
      <c r="F339" s="2">
        <v>50.0</v>
      </c>
      <c r="G339" s="4">
        <v>44460.81590799769</v>
      </c>
      <c r="H339" s="8">
        <v>44460.0</v>
      </c>
    </row>
    <row r="340">
      <c r="A340" s="2">
        <v>3.62</v>
      </c>
      <c r="B340" s="2">
        <v>227.8</v>
      </c>
      <c r="C340" s="2">
        <v>802.9</v>
      </c>
      <c r="D340" s="2">
        <v>0.63</v>
      </c>
      <c r="E340" s="2">
        <v>0.97</v>
      </c>
      <c r="F340" s="2">
        <v>50.0</v>
      </c>
      <c r="G340" s="4">
        <v>44460.816007037036</v>
      </c>
      <c r="H340" s="8">
        <v>44460.0</v>
      </c>
    </row>
    <row r="341">
      <c r="A341" s="2">
        <v>3.62</v>
      </c>
      <c r="B341" s="2">
        <v>227.8</v>
      </c>
      <c r="C341" s="2">
        <v>802.9</v>
      </c>
      <c r="D341" s="2">
        <v>0.63</v>
      </c>
      <c r="E341" s="2">
        <v>0.97</v>
      </c>
      <c r="F341" s="2">
        <v>50.0</v>
      </c>
      <c r="G341" s="4">
        <v>44460.816108009254</v>
      </c>
      <c r="H341" s="8">
        <v>44460.0</v>
      </c>
    </row>
    <row r="342">
      <c r="A342" s="2">
        <v>3.62</v>
      </c>
      <c r="B342" s="2">
        <v>227.8</v>
      </c>
      <c r="C342" s="2">
        <v>802.9</v>
      </c>
      <c r="D342" s="2">
        <v>0.63</v>
      </c>
      <c r="E342" s="2">
        <v>0.97</v>
      </c>
      <c r="F342" s="2">
        <v>50.0</v>
      </c>
      <c r="G342" s="4">
        <v>44460.81620395833</v>
      </c>
      <c r="H342" s="8">
        <v>44460.0</v>
      </c>
    </row>
    <row r="343">
      <c r="A343" s="2">
        <v>3.62</v>
      </c>
      <c r="B343" s="2">
        <v>227.8</v>
      </c>
      <c r="C343" s="2">
        <v>802.9</v>
      </c>
      <c r="D343" s="2">
        <v>0.63</v>
      </c>
      <c r="E343" s="2">
        <v>0.97</v>
      </c>
      <c r="F343" s="2">
        <v>50.0</v>
      </c>
      <c r="G343" s="4">
        <v>44460.816300185186</v>
      </c>
      <c r="H343" s="8">
        <v>44460.0</v>
      </c>
    </row>
    <row r="344">
      <c r="A344" s="2">
        <v>3.62</v>
      </c>
      <c r="B344" s="2">
        <v>227.9</v>
      </c>
      <c r="C344" s="2">
        <v>803.0</v>
      </c>
      <c r="D344" s="2">
        <v>0.63</v>
      </c>
      <c r="E344" s="2">
        <v>0.97</v>
      </c>
      <c r="F344" s="2">
        <v>50.0</v>
      </c>
      <c r="G344" s="4">
        <v>44460.81640060185</v>
      </c>
      <c r="H344" s="8">
        <v>44460.0</v>
      </c>
    </row>
    <row r="345">
      <c r="A345" s="2">
        <v>3.62</v>
      </c>
      <c r="B345" s="2">
        <v>227.9</v>
      </c>
      <c r="C345" s="2">
        <v>803.0</v>
      </c>
      <c r="D345" s="2">
        <v>0.64</v>
      </c>
      <c r="E345" s="2">
        <v>0.97</v>
      </c>
      <c r="F345" s="2">
        <v>50.0</v>
      </c>
      <c r="G345" s="4">
        <v>44460.81650482639</v>
      </c>
      <c r="H345" s="8">
        <v>44460.0</v>
      </c>
    </row>
    <row r="346">
      <c r="A346" s="2">
        <v>3.61</v>
      </c>
      <c r="B346" s="2">
        <v>228.1</v>
      </c>
      <c r="C346" s="2">
        <v>803.0</v>
      </c>
      <c r="D346" s="2">
        <v>0.64</v>
      </c>
      <c r="E346" s="2">
        <v>0.97</v>
      </c>
      <c r="F346" s="2">
        <v>50.0</v>
      </c>
      <c r="G346" s="4">
        <v>44460.8166103588</v>
      </c>
      <c r="H346" s="8">
        <v>44460.0</v>
      </c>
    </row>
    <row r="347">
      <c r="A347" s="2">
        <v>3.62</v>
      </c>
      <c r="B347" s="2">
        <v>228.0</v>
      </c>
      <c r="C347" s="2">
        <v>803.1</v>
      </c>
      <c r="D347" s="2">
        <v>0.64</v>
      </c>
      <c r="E347" s="2">
        <v>0.97</v>
      </c>
      <c r="F347" s="2">
        <v>50.0</v>
      </c>
      <c r="G347" s="4">
        <v>44460.81672153935</v>
      </c>
      <c r="H347" s="8">
        <v>44460.0</v>
      </c>
    </row>
    <row r="348">
      <c r="A348" s="2">
        <v>3.61</v>
      </c>
      <c r="B348" s="2">
        <v>228.1</v>
      </c>
      <c r="C348" s="2">
        <v>803.2</v>
      </c>
      <c r="D348" s="2">
        <v>0.64</v>
      </c>
      <c r="E348" s="2">
        <v>0.97</v>
      </c>
      <c r="F348" s="2">
        <v>50.0</v>
      </c>
      <c r="G348" s="4">
        <v>44460.81681975695</v>
      </c>
      <c r="H348" s="8">
        <v>44460.0</v>
      </c>
    </row>
    <row r="349">
      <c r="A349" s="2">
        <v>3.61</v>
      </c>
      <c r="B349" s="2">
        <v>228.0</v>
      </c>
      <c r="C349" s="2">
        <v>803.2</v>
      </c>
      <c r="D349" s="2">
        <v>0.64</v>
      </c>
      <c r="E349" s="2">
        <v>0.97</v>
      </c>
      <c r="F349" s="2">
        <v>50.0</v>
      </c>
      <c r="G349" s="4">
        <v>44460.816921192134</v>
      </c>
      <c r="H349" s="8">
        <v>44460.0</v>
      </c>
    </row>
    <row r="350">
      <c r="A350" s="2">
        <v>3.62</v>
      </c>
      <c r="B350" s="2">
        <v>227.5</v>
      </c>
      <c r="C350" s="2">
        <v>803.4</v>
      </c>
      <c r="D350" s="2">
        <v>0.65</v>
      </c>
      <c r="E350" s="2">
        <v>0.97</v>
      </c>
      <c r="F350" s="2">
        <v>50.0</v>
      </c>
      <c r="G350" s="4">
        <v>44460.81702322917</v>
      </c>
      <c r="H350" s="8">
        <v>44460.0</v>
      </c>
    </row>
    <row r="351">
      <c r="A351" s="2">
        <v>3.62</v>
      </c>
      <c r="B351" s="2">
        <v>227.4</v>
      </c>
      <c r="C351" s="2">
        <v>803.4</v>
      </c>
      <c r="D351" s="2">
        <v>0.65</v>
      </c>
      <c r="E351" s="2">
        <v>0.97</v>
      </c>
      <c r="F351" s="2">
        <v>50.0</v>
      </c>
      <c r="G351" s="4">
        <v>44460.817119907406</v>
      </c>
      <c r="H351" s="8">
        <v>44460.0</v>
      </c>
    </row>
    <row r="352">
      <c r="A352" s="2">
        <v>3.62</v>
      </c>
      <c r="B352" s="2">
        <v>227.5</v>
      </c>
      <c r="C352" s="2">
        <v>803.5</v>
      </c>
      <c r="D352" s="2">
        <v>0.65</v>
      </c>
      <c r="E352" s="2">
        <v>0.97</v>
      </c>
      <c r="F352" s="2">
        <v>50.0</v>
      </c>
      <c r="G352" s="4">
        <v>44460.817218020835</v>
      </c>
      <c r="H352" s="8">
        <v>44460.0</v>
      </c>
    </row>
    <row r="353">
      <c r="A353" s="2">
        <v>3.62</v>
      </c>
      <c r="B353" s="2">
        <v>227.4</v>
      </c>
      <c r="C353" s="2">
        <v>803.5</v>
      </c>
      <c r="D353" s="2">
        <v>0.65</v>
      </c>
      <c r="E353" s="2">
        <v>0.98</v>
      </c>
      <c r="F353" s="2">
        <v>50.0</v>
      </c>
      <c r="G353" s="4">
        <v>44460.81731805556</v>
      </c>
      <c r="H353" s="8">
        <v>44460.0</v>
      </c>
    </row>
    <row r="354">
      <c r="A354" s="2">
        <v>3.63</v>
      </c>
      <c r="B354" s="2">
        <v>227.4</v>
      </c>
      <c r="C354" s="2">
        <v>803.6</v>
      </c>
      <c r="D354" s="2">
        <v>0.65</v>
      </c>
      <c r="E354" s="2">
        <v>0.97</v>
      </c>
      <c r="F354" s="2">
        <v>50.0</v>
      </c>
      <c r="G354" s="4">
        <v>44460.8174167824</v>
      </c>
      <c r="H354" s="8">
        <v>44460.0</v>
      </c>
    </row>
    <row r="355">
      <c r="A355" s="2">
        <v>3.63</v>
      </c>
      <c r="B355" s="2">
        <v>227.3</v>
      </c>
      <c r="C355" s="2">
        <v>803.6</v>
      </c>
      <c r="D355" s="2">
        <v>0.66</v>
      </c>
      <c r="E355" s="2">
        <v>0.97</v>
      </c>
      <c r="F355" s="2">
        <v>49.9</v>
      </c>
      <c r="G355" s="4">
        <v>44460.81751601852</v>
      </c>
      <c r="H355" s="8">
        <v>44460.0</v>
      </c>
    </row>
    <row r="356">
      <c r="A356" s="2">
        <v>3.63</v>
      </c>
      <c r="B356" s="2">
        <v>227.2</v>
      </c>
      <c r="C356" s="2">
        <v>803.7</v>
      </c>
      <c r="D356" s="2">
        <v>0.66</v>
      </c>
      <c r="E356" s="2">
        <v>0.97</v>
      </c>
      <c r="F356" s="2">
        <v>50.0</v>
      </c>
      <c r="G356" s="4">
        <v>44460.817613761574</v>
      </c>
      <c r="H356" s="8">
        <v>44460.0</v>
      </c>
    </row>
    <row r="357">
      <c r="A357" s="2">
        <v>3.63</v>
      </c>
      <c r="B357" s="2">
        <v>227.2</v>
      </c>
      <c r="C357" s="2">
        <v>803.7</v>
      </c>
      <c r="D357" s="2">
        <v>0.66</v>
      </c>
      <c r="E357" s="2">
        <v>0.97</v>
      </c>
      <c r="F357" s="2">
        <v>50.0</v>
      </c>
      <c r="G357" s="4">
        <v>44460.81771646991</v>
      </c>
      <c r="H357" s="8">
        <v>44460.0</v>
      </c>
    </row>
    <row r="358">
      <c r="A358" s="2">
        <v>3.63</v>
      </c>
      <c r="B358" s="2">
        <v>227.3</v>
      </c>
      <c r="C358" s="2">
        <v>803.7</v>
      </c>
      <c r="D358" s="2">
        <v>0.66</v>
      </c>
      <c r="E358" s="2">
        <v>0.97</v>
      </c>
      <c r="F358" s="2">
        <v>50.0</v>
      </c>
      <c r="G358" s="4">
        <v>44460.81781559028</v>
      </c>
      <c r="H358" s="8">
        <v>44460.0</v>
      </c>
    </row>
    <row r="359">
      <c r="A359" s="2">
        <v>3.63</v>
      </c>
      <c r="B359" s="2">
        <v>227.2</v>
      </c>
      <c r="C359" s="2">
        <v>803.9</v>
      </c>
      <c r="D359" s="2">
        <v>0.66</v>
      </c>
      <c r="E359" s="2">
        <v>0.97</v>
      </c>
      <c r="F359" s="2">
        <v>50.0</v>
      </c>
      <c r="G359" s="4">
        <v>44460.817915011576</v>
      </c>
      <c r="H359" s="8">
        <v>44460.0</v>
      </c>
    </row>
    <row r="360">
      <c r="A360" s="2">
        <v>3.63</v>
      </c>
      <c r="B360" s="2">
        <v>227.3</v>
      </c>
      <c r="C360" s="2">
        <v>803.9</v>
      </c>
      <c r="D360" s="2">
        <v>0.67</v>
      </c>
      <c r="E360" s="2">
        <v>0.97</v>
      </c>
      <c r="F360" s="2">
        <v>49.9</v>
      </c>
      <c r="G360" s="4">
        <v>44460.818017847225</v>
      </c>
      <c r="H360" s="8">
        <v>44460.0</v>
      </c>
    </row>
    <row r="361">
      <c r="A361" s="2">
        <v>3.63</v>
      </c>
      <c r="B361" s="2">
        <v>227.3</v>
      </c>
      <c r="C361" s="2">
        <v>803.8</v>
      </c>
      <c r="D361" s="2">
        <v>0.67</v>
      </c>
      <c r="E361" s="2">
        <v>0.97</v>
      </c>
      <c r="F361" s="2">
        <v>50.0</v>
      </c>
      <c r="G361" s="4">
        <v>44460.81812003472</v>
      </c>
      <c r="H361" s="8">
        <v>44460.0</v>
      </c>
    </row>
    <row r="362">
      <c r="A362" s="2">
        <v>3.63</v>
      </c>
      <c r="B362" s="2">
        <v>227.4</v>
      </c>
      <c r="C362" s="2">
        <v>804.0</v>
      </c>
      <c r="D362" s="2">
        <v>0.67</v>
      </c>
      <c r="E362" s="2">
        <v>0.97</v>
      </c>
      <c r="F362" s="2">
        <v>50.0</v>
      </c>
      <c r="G362" s="4">
        <v>44460.81822346065</v>
      </c>
      <c r="H362" s="8">
        <v>44460.0</v>
      </c>
    </row>
    <row r="363">
      <c r="A363" s="2">
        <v>3.63</v>
      </c>
      <c r="B363" s="2">
        <v>227.4</v>
      </c>
      <c r="C363" s="2">
        <v>804.1</v>
      </c>
      <c r="D363" s="2">
        <v>0.67</v>
      </c>
      <c r="E363" s="2">
        <v>0.97</v>
      </c>
      <c r="F363" s="2">
        <v>50.0</v>
      </c>
      <c r="G363" s="4">
        <v>44460.81832467593</v>
      </c>
      <c r="H363" s="8">
        <v>44460.0</v>
      </c>
    </row>
    <row r="364">
      <c r="A364" s="2">
        <v>3.63</v>
      </c>
      <c r="B364" s="2">
        <v>227.4</v>
      </c>
      <c r="C364" s="2">
        <v>804.1</v>
      </c>
      <c r="D364" s="2">
        <v>0.67</v>
      </c>
      <c r="E364" s="2">
        <v>0.97</v>
      </c>
      <c r="F364" s="2">
        <v>50.0</v>
      </c>
      <c r="G364" s="4">
        <v>44460.81842084491</v>
      </c>
      <c r="H364" s="8">
        <v>44460.0</v>
      </c>
    </row>
    <row r="365">
      <c r="A365" s="2">
        <v>3.63</v>
      </c>
      <c r="B365" s="2">
        <v>227.4</v>
      </c>
      <c r="C365" s="2">
        <v>804.2</v>
      </c>
      <c r="D365" s="2">
        <v>0.68</v>
      </c>
      <c r="E365" s="2">
        <v>0.97</v>
      </c>
      <c r="F365" s="2">
        <v>50.0</v>
      </c>
      <c r="G365" s="4">
        <v>44460.81852032407</v>
      </c>
      <c r="H365" s="8">
        <v>44460.0</v>
      </c>
    </row>
    <row r="366">
      <c r="A366" s="2">
        <v>3.63</v>
      </c>
      <c r="B366" s="2">
        <v>227.4</v>
      </c>
      <c r="C366" s="2">
        <v>804.2</v>
      </c>
      <c r="D366" s="2">
        <v>0.68</v>
      </c>
      <c r="E366" s="2">
        <v>0.97</v>
      </c>
      <c r="F366" s="2">
        <v>50.0</v>
      </c>
      <c r="G366" s="4">
        <v>44460.818624189815</v>
      </c>
      <c r="H366" s="8">
        <v>44460.0</v>
      </c>
    </row>
    <row r="367">
      <c r="A367" s="2">
        <v>3.63</v>
      </c>
      <c r="B367" s="2">
        <v>227.2</v>
      </c>
      <c r="C367" s="2">
        <v>804.2</v>
      </c>
      <c r="D367" s="2">
        <v>0.68</v>
      </c>
      <c r="E367" s="2">
        <v>0.97</v>
      </c>
      <c r="F367" s="2">
        <v>50.0</v>
      </c>
      <c r="G367" s="4">
        <v>44460.81872657407</v>
      </c>
      <c r="H367" s="8">
        <v>44460.0</v>
      </c>
    </row>
    <row r="368">
      <c r="A368" s="2">
        <v>3.63</v>
      </c>
      <c r="B368" s="2">
        <v>227.3</v>
      </c>
      <c r="C368" s="2">
        <v>804.3</v>
      </c>
      <c r="D368" s="2">
        <v>0.68</v>
      </c>
      <c r="E368" s="2">
        <v>0.97</v>
      </c>
      <c r="F368" s="2">
        <v>50.0</v>
      </c>
      <c r="G368" s="4">
        <v>44460.81882616898</v>
      </c>
      <c r="H368" s="8">
        <v>44460.0</v>
      </c>
    </row>
    <row r="369">
      <c r="A369" s="2">
        <v>3.63</v>
      </c>
      <c r="B369" s="2">
        <v>227.2</v>
      </c>
      <c r="C369" s="2">
        <v>804.4</v>
      </c>
      <c r="D369" s="2">
        <v>0.68</v>
      </c>
      <c r="E369" s="2">
        <v>0.98</v>
      </c>
      <c r="F369" s="2">
        <v>50.0</v>
      </c>
      <c r="G369" s="4">
        <v>44460.81892767361</v>
      </c>
      <c r="H369" s="8">
        <v>44460.0</v>
      </c>
    </row>
    <row r="370">
      <c r="A370" s="2">
        <v>3.63</v>
      </c>
      <c r="B370" s="2">
        <v>227.1</v>
      </c>
      <c r="C370" s="2">
        <v>804.4</v>
      </c>
      <c r="D370" s="2">
        <v>0.69</v>
      </c>
      <c r="E370" s="2">
        <v>0.97</v>
      </c>
      <c r="F370" s="2">
        <v>50.0</v>
      </c>
      <c r="G370" s="4">
        <v>44460.81903038194</v>
      </c>
      <c r="H370" s="8">
        <v>44460.0</v>
      </c>
    </row>
    <row r="371">
      <c r="A371" s="2">
        <v>3.63</v>
      </c>
      <c r="B371" s="2">
        <v>227.4</v>
      </c>
      <c r="C371" s="2">
        <v>804.4</v>
      </c>
      <c r="D371" s="2">
        <v>0.69</v>
      </c>
      <c r="E371" s="2">
        <v>0.97</v>
      </c>
      <c r="F371" s="2">
        <v>50.0</v>
      </c>
      <c r="G371" s="4">
        <v>44460.81912988426</v>
      </c>
      <c r="H371" s="8">
        <v>44460.0</v>
      </c>
    </row>
    <row r="372">
      <c r="A372" s="2">
        <v>3.63</v>
      </c>
      <c r="B372" s="2">
        <v>227.4</v>
      </c>
      <c r="C372" s="2">
        <v>804.5</v>
      </c>
      <c r="D372" s="2">
        <v>0.69</v>
      </c>
      <c r="E372" s="2">
        <v>0.97</v>
      </c>
      <c r="F372" s="2">
        <v>50.0</v>
      </c>
      <c r="G372" s="4">
        <v>44460.819228506945</v>
      </c>
      <c r="H372" s="8">
        <v>44460.0</v>
      </c>
    </row>
    <row r="373">
      <c r="A373" s="2">
        <v>3.63</v>
      </c>
      <c r="B373" s="2">
        <v>227.5</v>
      </c>
      <c r="C373" s="2">
        <v>804.5</v>
      </c>
      <c r="D373" s="2">
        <v>0.69</v>
      </c>
      <c r="E373" s="2">
        <v>0.97</v>
      </c>
      <c r="F373" s="2">
        <v>50.0</v>
      </c>
      <c r="G373" s="4">
        <v>44460.81932829861</v>
      </c>
      <c r="H373" s="8">
        <v>44460.0</v>
      </c>
    </row>
    <row r="374">
      <c r="A374" s="2">
        <v>3.63</v>
      </c>
      <c r="B374" s="2">
        <v>227.5</v>
      </c>
      <c r="C374" s="2">
        <v>804.5</v>
      </c>
      <c r="D374" s="2">
        <v>0.69</v>
      </c>
      <c r="E374" s="2">
        <v>0.97</v>
      </c>
      <c r="F374" s="2">
        <v>50.0</v>
      </c>
      <c r="G374" s="4">
        <v>44460.81942932871</v>
      </c>
      <c r="H374" s="8">
        <v>44460.0</v>
      </c>
    </row>
    <row r="375">
      <c r="A375" s="2">
        <v>3.63</v>
      </c>
      <c r="B375" s="2">
        <v>227.5</v>
      </c>
      <c r="C375" s="2">
        <v>804.6</v>
      </c>
      <c r="D375" s="2">
        <v>0.69</v>
      </c>
      <c r="E375" s="2">
        <v>0.97</v>
      </c>
      <c r="F375" s="2">
        <v>50.0</v>
      </c>
      <c r="G375" s="4">
        <v>44460.819548252315</v>
      </c>
      <c r="H375" s="8">
        <v>44460.0</v>
      </c>
    </row>
    <row r="376">
      <c r="A376" s="2">
        <v>3.63</v>
      </c>
      <c r="B376" s="2">
        <v>227.5</v>
      </c>
      <c r="C376" s="2">
        <v>804.6</v>
      </c>
      <c r="D376" s="2">
        <v>0.7</v>
      </c>
      <c r="E376" s="2">
        <v>0.97</v>
      </c>
      <c r="F376" s="2">
        <v>50.0</v>
      </c>
      <c r="G376" s="4">
        <v>44460.81965528935</v>
      </c>
      <c r="H376" s="8">
        <v>44460.0</v>
      </c>
    </row>
    <row r="377">
      <c r="A377" s="2">
        <v>3.63</v>
      </c>
      <c r="B377" s="2">
        <v>227.5</v>
      </c>
      <c r="C377" s="2">
        <v>804.7</v>
      </c>
      <c r="D377" s="2">
        <v>0.7</v>
      </c>
      <c r="E377" s="2">
        <v>0.97</v>
      </c>
      <c r="F377" s="2">
        <v>50.0</v>
      </c>
      <c r="G377" s="4">
        <v>44460.81976068287</v>
      </c>
      <c r="H377" s="8">
        <v>44460.0</v>
      </c>
    </row>
    <row r="378">
      <c r="A378" s="2">
        <v>3.63</v>
      </c>
      <c r="B378" s="2">
        <v>227.6</v>
      </c>
      <c r="C378" s="2">
        <v>804.8</v>
      </c>
      <c r="D378" s="2">
        <v>0.7</v>
      </c>
      <c r="E378" s="2">
        <v>0.97</v>
      </c>
      <c r="F378" s="2">
        <v>50.0</v>
      </c>
      <c r="G378" s="4">
        <v>44460.81986350694</v>
      </c>
      <c r="H378" s="8">
        <v>44460.0</v>
      </c>
    </row>
    <row r="379">
      <c r="A379" s="2">
        <v>3.63</v>
      </c>
      <c r="B379" s="2">
        <v>227.5</v>
      </c>
      <c r="C379" s="2">
        <v>804.8</v>
      </c>
      <c r="D379" s="2">
        <v>0.7</v>
      </c>
      <c r="E379" s="2">
        <v>0.97</v>
      </c>
      <c r="F379" s="2">
        <v>50.0</v>
      </c>
      <c r="G379" s="4">
        <v>44460.81995878472</v>
      </c>
      <c r="H379" s="8">
        <v>44460.0</v>
      </c>
    </row>
    <row r="380">
      <c r="A380" s="2">
        <v>3.63</v>
      </c>
      <c r="B380" s="2">
        <v>227.5</v>
      </c>
      <c r="C380" s="2">
        <v>804.8</v>
      </c>
      <c r="D380" s="2">
        <v>0.7</v>
      </c>
      <c r="E380" s="2">
        <v>0.97</v>
      </c>
      <c r="F380" s="2">
        <v>50.0</v>
      </c>
      <c r="G380" s="4">
        <v>44460.82006082176</v>
      </c>
      <c r="H380" s="8">
        <v>44460.0</v>
      </c>
    </row>
    <row r="381">
      <c r="A381" s="2">
        <v>3.63</v>
      </c>
      <c r="B381" s="2">
        <v>227.5</v>
      </c>
      <c r="C381" s="2">
        <v>804.9</v>
      </c>
      <c r="D381" s="2">
        <v>0.71</v>
      </c>
      <c r="E381" s="2">
        <v>0.97</v>
      </c>
      <c r="F381" s="2">
        <v>49.9</v>
      </c>
      <c r="G381" s="4">
        <v>44460.820165578705</v>
      </c>
      <c r="H381" s="8">
        <v>44460.0</v>
      </c>
    </row>
    <row r="382">
      <c r="A382" s="2">
        <v>3.63</v>
      </c>
      <c r="B382" s="2">
        <v>227.4</v>
      </c>
      <c r="C382" s="2">
        <v>804.9</v>
      </c>
      <c r="D382" s="2">
        <v>0.71</v>
      </c>
      <c r="E382" s="2">
        <v>0.97</v>
      </c>
      <c r="F382" s="2">
        <v>49.9</v>
      </c>
      <c r="G382" s="4">
        <v>44460.820268298616</v>
      </c>
      <c r="H382" s="8">
        <v>44460.0</v>
      </c>
    </row>
    <row r="383">
      <c r="A383" s="2">
        <v>3.63</v>
      </c>
      <c r="B383" s="2">
        <v>227.4</v>
      </c>
      <c r="C383" s="2">
        <v>805.0</v>
      </c>
      <c r="D383" s="2">
        <v>0.71</v>
      </c>
      <c r="E383" s="2">
        <v>0.97</v>
      </c>
      <c r="F383" s="2">
        <v>49.9</v>
      </c>
      <c r="G383" s="4">
        <v>44460.820368298606</v>
      </c>
      <c r="H383" s="8">
        <v>44460.0</v>
      </c>
    </row>
    <row r="384">
      <c r="A384" s="2">
        <v>3.63</v>
      </c>
      <c r="B384" s="2">
        <v>227.5</v>
      </c>
      <c r="C384" s="2">
        <v>805.0</v>
      </c>
      <c r="D384" s="2">
        <v>0.71</v>
      </c>
      <c r="E384" s="2">
        <v>0.97</v>
      </c>
      <c r="F384" s="2">
        <v>50.0</v>
      </c>
      <c r="G384" s="4">
        <v>44460.82047082176</v>
      </c>
      <c r="H384" s="8">
        <v>44460.0</v>
      </c>
    </row>
    <row r="385">
      <c r="A385" s="2">
        <v>3.63</v>
      </c>
      <c r="B385" s="2">
        <v>227.4</v>
      </c>
      <c r="C385" s="2">
        <v>805.0</v>
      </c>
      <c r="D385" s="2">
        <v>0.71</v>
      </c>
      <c r="E385" s="2">
        <v>0.97</v>
      </c>
      <c r="F385" s="2">
        <v>50.0</v>
      </c>
      <c r="G385" s="4">
        <v>44460.82058086805</v>
      </c>
      <c r="H385" s="8">
        <v>44460.0</v>
      </c>
    </row>
    <row r="386">
      <c r="A386" s="2">
        <v>3.63</v>
      </c>
      <c r="B386" s="2">
        <v>227.5</v>
      </c>
      <c r="C386" s="2">
        <v>805.1</v>
      </c>
      <c r="D386" s="2">
        <v>0.72</v>
      </c>
      <c r="E386" s="2">
        <v>0.97</v>
      </c>
      <c r="F386" s="2">
        <v>50.0</v>
      </c>
      <c r="G386" s="4">
        <v>44460.8206827199</v>
      </c>
      <c r="H386" s="8">
        <v>44460.0</v>
      </c>
    </row>
    <row r="387">
      <c r="A387" s="2">
        <v>3.63</v>
      </c>
      <c r="B387" s="2">
        <v>227.5</v>
      </c>
      <c r="C387" s="2">
        <v>805.1</v>
      </c>
      <c r="D387" s="2">
        <v>0.72</v>
      </c>
      <c r="E387" s="2">
        <v>0.97</v>
      </c>
      <c r="F387" s="2">
        <v>50.0</v>
      </c>
      <c r="G387" s="4">
        <v>44460.82078232639</v>
      </c>
      <c r="H387" s="8">
        <v>44460.0</v>
      </c>
    </row>
    <row r="388">
      <c r="A388" s="2">
        <v>3.63</v>
      </c>
      <c r="B388" s="2">
        <v>227.6</v>
      </c>
      <c r="C388" s="2">
        <v>805.2</v>
      </c>
      <c r="D388" s="2">
        <v>0.72</v>
      </c>
      <c r="E388" s="2">
        <v>0.97</v>
      </c>
      <c r="F388" s="2">
        <v>50.0</v>
      </c>
      <c r="G388" s="4">
        <v>44460.82088511574</v>
      </c>
      <c r="H388" s="8">
        <v>44460.0</v>
      </c>
    </row>
    <row r="389">
      <c r="A389" s="2">
        <v>3.63</v>
      </c>
      <c r="B389" s="2">
        <v>227.6</v>
      </c>
      <c r="C389" s="2">
        <v>805.2</v>
      </c>
      <c r="D389" s="2">
        <v>0.72</v>
      </c>
      <c r="E389" s="2">
        <v>0.97</v>
      </c>
      <c r="F389" s="2">
        <v>50.0</v>
      </c>
      <c r="G389" s="4">
        <v>44460.82098068287</v>
      </c>
      <c r="H389" s="8">
        <v>44460.0</v>
      </c>
    </row>
    <row r="390">
      <c r="A390" s="2">
        <v>3.63</v>
      </c>
      <c r="B390" s="2">
        <v>227.6</v>
      </c>
      <c r="C390" s="2">
        <v>805.3</v>
      </c>
      <c r="D390" s="2">
        <v>0.73</v>
      </c>
      <c r="E390" s="2">
        <v>0.97</v>
      </c>
      <c r="F390" s="2">
        <v>50.0</v>
      </c>
      <c r="G390" s="4">
        <v>44460.821079490735</v>
      </c>
      <c r="H390" s="8">
        <v>44460.0</v>
      </c>
    </row>
    <row r="391">
      <c r="A391" s="2">
        <v>3.63</v>
      </c>
      <c r="B391" s="2">
        <v>227.5</v>
      </c>
      <c r="C391" s="2">
        <v>805.3</v>
      </c>
      <c r="D391" s="2">
        <v>0.73</v>
      </c>
      <c r="E391" s="2">
        <v>0.97</v>
      </c>
      <c r="F391" s="2">
        <v>50.0</v>
      </c>
      <c r="G391" s="4">
        <v>44460.821176620375</v>
      </c>
      <c r="H391" s="8">
        <v>44460.0</v>
      </c>
    </row>
    <row r="392">
      <c r="A392" s="2">
        <v>3.63</v>
      </c>
      <c r="B392" s="2">
        <v>227.5</v>
      </c>
      <c r="C392" s="2">
        <v>805.4</v>
      </c>
      <c r="D392" s="2">
        <v>0.73</v>
      </c>
      <c r="E392" s="2">
        <v>0.97</v>
      </c>
      <c r="F392" s="2">
        <v>50.0</v>
      </c>
      <c r="G392" s="4">
        <v>44460.821273333335</v>
      </c>
      <c r="H392" s="8">
        <v>44460.0</v>
      </c>
    </row>
    <row r="393">
      <c r="A393" s="2">
        <v>3.63</v>
      </c>
      <c r="B393" s="2">
        <v>227.6</v>
      </c>
      <c r="C393" s="2">
        <v>805.4</v>
      </c>
      <c r="D393" s="2">
        <v>0.73</v>
      </c>
      <c r="E393" s="2">
        <v>0.97</v>
      </c>
      <c r="F393" s="2">
        <v>50.0</v>
      </c>
      <c r="G393" s="4">
        <v>44460.82137310185</v>
      </c>
      <c r="H393" s="8">
        <v>44460.0</v>
      </c>
    </row>
    <row r="394">
      <c r="A394" s="2">
        <v>3.63</v>
      </c>
      <c r="B394" s="2">
        <v>227.5</v>
      </c>
      <c r="C394" s="2">
        <v>805.5</v>
      </c>
      <c r="D394" s="2">
        <v>0.73</v>
      </c>
      <c r="E394" s="2">
        <v>0.97</v>
      </c>
      <c r="F394" s="2">
        <v>50.0</v>
      </c>
      <c r="G394" s="4">
        <v>44460.82146979167</v>
      </c>
      <c r="H394" s="8">
        <v>44460.0</v>
      </c>
    </row>
    <row r="395">
      <c r="A395" s="2">
        <v>3.63</v>
      </c>
      <c r="B395" s="2">
        <v>227.5</v>
      </c>
      <c r="C395" s="2">
        <v>805.5</v>
      </c>
      <c r="D395" s="2">
        <v>0.73</v>
      </c>
      <c r="E395" s="2">
        <v>0.97</v>
      </c>
      <c r="F395" s="2">
        <v>49.9</v>
      </c>
      <c r="G395" s="4">
        <v>44460.82156597222</v>
      </c>
      <c r="H395" s="8">
        <v>44460.0</v>
      </c>
    </row>
    <row r="396">
      <c r="A396" s="2">
        <v>3.64</v>
      </c>
      <c r="B396" s="2">
        <v>227.4</v>
      </c>
      <c r="C396" s="2">
        <v>805.6</v>
      </c>
      <c r="D396" s="2">
        <v>0.74</v>
      </c>
      <c r="E396" s="2">
        <v>0.97</v>
      </c>
      <c r="F396" s="2">
        <v>50.0</v>
      </c>
      <c r="G396" s="4">
        <v>44460.82166825232</v>
      </c>
      <c r="H396" s="8">
        <v>44460.0</v>
      </c>
    </row>
    <row r="397">
      <c r="A397" s="2">
        <v>3.64</v>
      </c>
      <c r="B397" s="2">
        <v>227.3</v>
      </c>
      <c r="C397" s="2">
        <v>805.6</v>
      </c>
      <c r="D397" s="2">
        <v>0.74</v>
      </c>
      <c r="E397" s="2">
        <v>0.97</v>
      </c>
      <c r="F397" s="2">
        <v>49.9</v>
      </c>
      <c r="G397" s="4">
        <v>44460.8217746875</v>
      </c>
      <c r="H397" s="8">
        <v>44460.0</v>
      </c>
    </row>
    <row r="398">
      <c r="A398" s="2">
        <v>3.64</v>
      </c>
      <c r="B398" s="2">
        <v>227.4</v>
      </c>
      <c r="C398" s="2">
        <v>805.7</v>
      </c>
      <c r="D398" s="2">
        <v>0.74</v>
      </c>
      <c r="E398" s="2">
        <v>0.97</v>
      </c>
      <c r="F398" s="2">
        <v>49.9</v>
      </c>
      <c r="G398" s="4">
        <v>44460.8218765625</v>
      </c>
      <c r="H398" s="8">
        <v>44460.0</v>
      </c>
    </row>
    <row r="399">
      <c r="A399" s="2">
        <v>3.64</v>
      </c>
      <c r="B399" s="2">
        <v>227.3</v>
      </c>
      <c r="C399" s="2">
        <v>805.7</v>
      </c>
      <c r="D399" s="2">
        <v>0.74</v>
      </c>
      <c r="E399" s="2">
        <v>0.97</v>
      </c>
      <c r="F399" s="2">
        <v>49.9</v>
      </c>
      <c r="G399" s="4">
        <v>44460.82197739583</v>
      </c>
      <c r="H399" s="8">
        <v>44460.0</v>
      </c>
    </row>
    <row r="400">
      <c r="A400" s="2">
        <v>3.64</v>
      </c>
      <c r="B400" s="2">
        <v>227.3</v>
      </c>
      <c r="C400" s="2">
        <v>805.8</v>
      </c>
      <c r="D400" s="2">
        <v>0.74</v>
      </c>
      <c r="E400" s="2">
        <v>0.97</v>
      </c>
      <c r="F400" s="2">
        <v>49.9</v>
      </c>
      <c r="G400" s="4">
        <v>44460.82207462963</v>
      </c>
      <c r="H400" s="8">
        <v>44460.0</v>
      </c>
    </row>
    <row r="401">
      <c r="A401" s="2">
        <v>3.64</v>
      </c>
      <c r="B401" s="2">
        <v>227.3</v>
      </c>
      <c r="C401" s="2">
        <v>805.8</v>
      </c>
      <c r="D401" s="2">
        <v>0.75</v>
      </c>
      <c r="E401" s="2">
        <v>0.97</v>
      </c>
      <c r="F401" s="2">
        <v>49.9</v>
      </c>
      <c r="G401" s="4">
        <v>44460.822174305555</v>
      </c>
      <c r="H401" s="8">
        <v>44460.0</v>
      </c>
    </row>
    <row r="402">
      <c r="A402" s="2">
        <v>3.64</v>
      </c>
      <c r="B402" s="2">
        <v>227.4</v>
      </c>
      <c r="C402" s="2">
        <v>805.9</v>
      </c>
      <c r="D402" s="2">
        <v>0.75</v>
      </c>
      <c r="E402" s="2">
        <v>0.97</v>
      </c>
      <c r="F402" s="2">
        <v>50.0</v>
      </c>
      <c r="G402" s="4">
        <v>44460.822275983795</v>
      </c>
      <c r="H402" s="8">
        <v>44460.0</v>
      </c>
    </row>
    <row r="403">
      <c r="A403" s="2">
        <v>3.64</v>
      </c>
      <c r="B403" s="2">
        <v>227.4</v>
      </c>
      <c r="C403" s="2">
        <v>805.9</v>
      </c>
      <c r="D403" s="2">
        <v>0.75</v>
      </c>
      <c r="E403" s="2">
        <v>0.97</v>
      </c>
      <c r="F403" s="2">
        <v>49.9</v>
      </c>
      <c r="G403" s="4">
        <v>44460.82237548611</v>
      </c>
      <c r="H403" s="8">
        <v>44460.0</v>
      </c>
    </row>
    <row r="404">
      <c r="A404" s="2">
        <v>3.63</v>
      </c>
      <c r="B404" s="2">
        <v>227.5</v>
      </c>
      <c r="C404" s="2">
        <v>805.9</v>
      </c>
      <c r="D404" s="2">
        <v>0.75</v>
      </c>
      <c r="E404" s="2">
        <v>0.97</v>
      </c>
      <c r="F404" s="2">
        <v>49.9</v>
      </c>
      <c r="G404" s="4">
        <v>44460.822474444445</v>
      </c>
      <c r="H404" s="8">
        <v>44460.0</v>
      </c>
    </row>
    <row r="405">
      <c r="A405" s="2">
        <v>3.63</v>
      </c>
      <c r="B405" s="2">
        <v>227.6</v>
      </c>
      <c r="C405" s="2">
        <v>806.0</v>
      </c>
      <c r="D405" s="2">
        <v>0.75</v>
      </c>
      <c r="E405" s="2">
        <v>0.97</v>
      </c>
      <c r="F405" s="2">
        <v>50.0</v>
      </c>
      <c r="G405" s="4">
        <v>44460.822573784724</v>
      </c>
      <c r="H405" s="8">
        <v>44460.0</v>
      </c>
    </row>
    <row r="406">
      <c r="A406" s="2">
        <v>3.63</v>
      </c>
      <c r="B406" s="2">
        <v>227.7</v>
      </c>
      <c r="C406" s="2">
        <v>805.9</v>
      </c>
      <c r="D406" s="2">
        <v>0.75</v>
      </c>
      <c r="E406" s="2">
        <v>0.97</v>
      </c>
      <c r="F406" s="2">
        <v>50.0</v>
      </c>
      <c r="G406" s="4">
        <v>44460.82267121528</v>
      </c>
      <c r="H406" s="8">
        <v>44460.0</v>
      </c>
    </row>
    <row r="407">
      <c r="A407" s="2">
        <v>3.63</v>
      </c>
      <c r="B407" s="2">
        <v>227.8</v>
      </c>
      <c r="C407" s="2">
        <v>806.1</v>
      </c>
      <c r="D407" s="2">
        <v>0.76</v>
      </c>
      <c r="E407" s="2">
        <v>0.97</v>
      </c>
      <c r="F407" s="2">
        <v>50.0</v>
      </c>
      <c r="G407" s="4">
        <v>44460.822769606486</v>
      </c>
      <c r="H407" s="8">
        <v>44460.0</v>
      </c>
    </row>
    <row r="408">
      <c r="A408" s="2">
        <v>3.63</v>
      </c>
      <c r="B408" s="2">
        <v>227.8</v>
      </c>
      <c r="C408" s="2">
        <v>806.1</v>
      </c>
      <c r="D408" s="2">
        <v>0.76</v>
      </c>
      <c r="E408" s="2">
        <v>0.97</v>
      </c>
      <c r="F408" s="2">
        <v>50.0</v>
      </c>
      <c r="G408" s="4">
        <v>44460.82286748843</v>
      </c>
      <c r="H408" s="8">
        <v>44460.0</v>
      </c>
    </row>
    <row r="409">
      <c r="A409" s="2">
        <v>3.63</v>
      </c>
      <c r="B409" s="2">
        <v>227.8</v>
      </c>
      <c r="C409" s="2">
        <v>806.2</v>
      </c>
      <c r="D409" s="2">
        <v>0.76</v>
      </c>
      <c r="E409" s="2">
        <v>0.97</v>
      </c>
      <c r="F409" s="2">
        <v>50.0</v>
      </c>
      <c r="G409" s="4">
        <v>44460.822968356486</v>
      </c>
      <c r="H409" s="8">
        <v>44460.0</v>
      </c>
    </row>
    <row r="410">
      <c r="A410" s="2">
        <v>3.63</v>
      </c>
      <c r="B410" s="2">
        <v>227.9</v>
      </c>
      <c r="C410" s="2">
        <v>806.2</v>
      </c>
      <c r="D410" s="2">
        <v>0.76</v>
      </c>
      <c r="E410" s="2">
        <v>0.97</v>
      </c>
      <c r="F410" s="2">
        <v>50.0</v>
      </c>
      <c r="G410" s="4">
        <v>44460.823074837965</v>
      </c>
      <c r="H410" s="8">
        <v>44460.0</v>
      </c>
    </row>
    <row r="411">
      <c r="A411" s="2">
        <v>3.63</v>
      </c>
      <c r="B411" s="2">
        <v>227.7</v>
      </c>
      <c r="C411" s="2">
        <v>806.3</v>
      </c>
      <c r="D411" s="2">
        <v>0.76</v>
      </c>
      <c r="E411" s="2">
        <v>0.97</v>
      </c>
      <c r="F411" s="2">
        <v>50.0</v>
      </c>
      <c r="G411" s="4">
        <v>44460.82317804398</v>
      </c>
      <c r="H411" s="8">
        <v>44460.0</v>
      </c>
    </row>
    <row r="412">
      <c r="A412" s="2">
        <v>3.63</v>
      </c>
      <c r="B412" s="2">
        <v>227.7</v>
      </c>
      <c r="C412" s="2">
        <v>806.3</v>
      </c>
      <c r="D412" s="2">
        <v>0.77</v>
      </c>
      <c r="E412" s="2">
        <v>0.97</v>
      </c>
      <c r="F412" s="2">
        <v>50.0</v>
      </c>
      <c r="G412" s="4">
        <v>44460.823273842594</v>
      </c>
      <c r="H412" s="8">
        <v>44460.0</v>
      </c>
    </row>
    <row r="413">
      <c r="A413" s="2">
        <v>3.63</v>
      </c>
      <c r="B413" s="2">
        <v>227.9</v>
      </c>
      <c r="C413" s="2">
        <v>806.4</v>
      </c>
      <c r="D413" s="2">
        <v>0.77</v>
      </c>
      <c r="E413" s="2">
        <v>0.97</v>
      </c>
      <c r="F413" s="2">
        <v>50.0</v>
      </c>
      <c r="G413" s="4">
        <v>44460.82337054398</v>
      </c>
      <c r="H413" s="8">
        <v>44460.0</v>
      </c>
    </row>
    <row r="414">
      <c r="A414" s="2">
        <v>3.63</v>
      </c>
      <c r="B414" s="2">
        <v>227.7</v>
      </c>
      <c r="C414" s="2">
        <v>806.4</v>
      </c>
      <c r="D414" s="2">
        <v>0.77</v>
      </c>
      <c r="E414" s="2">
        <v>0.97</v>
      </c>
      <c r="F414" s="2">
        <v>49.9</v>
      </c>
      <c r="G414" s="4">
        <v>44460.82346888889</v>
      </c>
      <c r="H414" s="8">
        <v>44460.0</v>
      </c>
    </row>
    <row r="415">
      <c r="A415" s="2">
        <v>3.63</v>
      </c>
      <c r="B415" s="2">
        <v>227.7</v>
      </c>
      <c r="C415" s="2">
        <v>806.4</v>
      </c>
      <c r="D415" s="2">
        <v>0.77</v>
      </c>
      <c r="E415" s="2">
        <v>0.97</v>
      </c>
      <c r="F415" s="2">
        <v>50.0</v>
      </c>
      <c r="G415" s="4">
        <v>44460.82356505787</v>
      </c>
      <c r="H415" s="8">
        <v>44460.0</v>
      </c>
    </row>
    <row r="416">
      <c r="A416" s="2">
        <v>3.63</v>
      </c>
      <c r="B416" s="2">
        <v>227.8</v>
      </c>
      <c r="C416" s="2">
        <v>806.5</v>
      </c>
      <c r="D416" s="2">
        <v>0.77</v>
      </c>
      <c r="E416" s="2">
        <v>0.97</v>
      </c>
      <c r="F416" s="2">
        <v>49.9</v>
      </c>
      <c r="G416" s="4">
        <v>44460.82365936342</v>
      </c>
      <c r="H416" s="8">
        <v>44460.0</v>
      </c>
    </row>
    <row r="417">
      <c r="A417" s="2">
        <v>3.64</v>
      </c>
      <c r="B417" s="2">
        <v>227.6</v>
      </c>
      <c r="C417" s="2">
        <v>806.6</v>
      </c>
      <c r="D417" s="2">
        <v>0.78</v>
      </c>
      <c r="E417" s="2">
        <v>0.97</v>
      </c>
      <c r="F417" s="2">
        <v>49.9</v>
      </c>
      <c r="G417" s="4">
        <v>44460.82375981481</v>
      </c>
      <c r="H417" s="8">
        <v>44460.0</v>
      </c>
    </row>
    <row r="418">
      <c r="A418" s="2">
        <v>3.64</v>
      </c>
      <c r="B418" s="2">
        <v>227.6</v>
      </c>
      <c r="C418" s="2">
        <v>806.6</v>
      </c>
      <c r="D418" s="2">
        <v>0.78</v>
      </c>
      <c r="E418" s="2">
        <v>0.97</v>
      </c>
      <c r="F418" s="2">
        <v>49.9</v>
      </c>
      <c r="G418" s="4">
        <v>44460.82386142361</v>
      </c>
      <c r="H418" s="8">
        <v>44460.0</v>
      </c>
    </row>
    <row r="419">
      <c r="A419" s="2">
        <v>3.63</v>
      </c>
      <c r="B419" s="2">
        <v>227.7</v>
      </c>
      <c r="C419" s="2">
        <v>806.7</v>
      </c>
      <c r="D419" s="2">
        <v>0.78</v>
      </c>
      <c r="E419" s="2">
        <v>0.97</v>
      </c>
      <c r="F419" s="2">
        <v>50.0</v>
      </c>
      <c r="G419" s="4">
        <v>44460.82395712963</v>
      </c>
      <c r="H419" s="8">
        <v>44460.0</v>
      </c>
    </row>
    <row r="420">
      <c r="A420" s="2">
        <v>3.63</v>
      </c>
      <c r="B420" s="2">
        <v>227.7</v>
      </c>
      <c r="C420" s="2">
        <v>806.7</v>
      </c>
      <c r="D420" s="2">
        <v>0.78</v>
      </c>
      <c r="E420" s="2">
        <v>0.97</v>
      </c>
      <c r="F420" s="2">
        <v>50.0</v>
      </c>
      <c r="G420" s="4">
        <v>44460.82405415509</v>
      </c>
      <c r="H420" s="8">
        <v>44460.0</v>
      </c>
    </row>
    <row r="421">
      <c r="A421" s="2">
        <v>3.63</v>
      </c>
      <c r="B421" s="2">
        <v>227.8</v>
      </c>
      <c r="C421" s="2">
        <v>806.7</v>
      </c>
      <c r="D421" s="2">
        <v>0.78</v>
      </c>
      <c r="E421" s="2">
        <v>0.97</v>
      </c>
      <c r="F421" s="2">
        <v>50.0</v>
      </c>
      <c r="G421" s="4">
        <v>44460.82415138889</v>
      </c>
      <c r="H421" s="8">
        <v>44460.0</v>
      </c>
    </row>
    <row r="422">
      <c r="A422" s="2">
        <v>3.63</v>
      </c>
      <c r="B422" s="2">
        <v>227.8</v>
      </c>
      <c r="C422" s="2">
        <v>806.9</v>
      </c>
      <c r="D422" s="2">
        <v>0.79</v>
      </c>
      <c r="E422" s="2">
        <v>0.97</v>
      </c>
      <c r="F422" s="2">
        <v>50.0</v>
      </c>
      <c r="G422" s="4">
        <v>44460.82425017361</v>
      </c>
      <c r="H422" s="8">
        <v>44460.0</v>
      </c>
    </row>
    <row r="423">
      <c r="A423" s="2">
        <v>3.63</v>
      </c>
      <c r="B423" s="2">
        <v>228.0</v>
      </c>
      <c r="C423" s="2">
        <v>806.9</v>
      </c>
      <c r="D423" s="2">
        <v>0.79</v>
      </c>
      <c r="E423" s="2">
        <v>0.97</v>
      </c>
      <c r="F423" s="2">
        <v>50.0</v>
      </c>
      <c r="G423" s="4">
        <v>44460.82435126157</v>
      </c>
      <c r="H423" s="8">
        <v>44460.0</v>
      </c>
    </row>
    <row r="424">
      <c r="A424" s="2">
        <v>3.63</v>
      </c>
      <c r="B424" s="2">
        <v>228.0</v>
      </c>
      <c r="C424" s="2">
        <v>806.9</v>
      </c>
      <c r="D424" s="2">
        <v>0.79</v>
      </c>
      <c r="E424" s="2">
        <v>0.97</v>
      </c>
      <c r="F424" s="2">
        <v>50.0</v>
      </c>
      <c r="G424" s="4">
        <v>44460.824446631945</v>
      </c>
      <c r="H424" s="8">
        <v>44460.0</v>
      </c>
    </row>
    <row r="425">
      <c r="A425" s="2">
        <v>3.63</v>
      </c>
      <c r="B425" s="2">
        <v>228.1</v>
      </c>
      <c r="C425" s="2">
        <v>807.0</v>
      </c>
      <c r="D425" s="2">
        <v>0.79</v>
      </c>
      <c r="E425" s="2">
        <v>0.97</v>
      </c>
      <c r="F425" s="2">
        <v>50.0</v>
      </c>
      <c r="G425" s="4">
        <v>44460.824544386574</v>
      </c>
      <c r="H425" s="8">
        <v>44460.0</v>
      </c>
    </row>
    <row r="426">
      <c r="A426" s="2">
        <v>3.63</v>
      </c>
      <c r="B426" s="2">
        <v>228.1</v>
      </c>
      <c r="C426" s="2">
        <v>807.0</v>
      </c>
      <c r="D426" s="2">
        <v>0.79</v>
      </c>
      <c r="E426" s="2">
        <v>0.97</v>
      </c>
      <c r="F426" s="2">
        <v>50.0</v>
      </c>
      <c r="G426" s="4">
        <v>44460.82464310185</v>
      </c>
      <c r="H426" s="8">
        <v>44460.0</v>
      </c>
    </row>
    <row r="427">
      <c r="A427" s="2">
        <v>3.63</v>
      </c>
      <c r="B427" s="2">
        <v>227.9</v>
      </c>
      <c r="C427" s="2">
        <v>807.1</v>
      </c>
      <c r="D427" s="2">
        <v>0.8</v>
      </c>
      <c r="E427" s="2">
        <v>0.97</v>
      </c>
      <c r="F427" s="2">
        <v>50.0</v>
      </c>
      <c r="G427" s="4">
        <v>44460.824758877316</v>
      </c>
      <c r="H427" s="8">
        <v>44460.0</v>
      </c>
    </row>
    <row r="428">
      <c r="A428" s="2">
        <v>3.63</v>
      </c>
      <c r="B428" s="2">
        <v>228.0</v>
      </c>
      <c r="C428" s="2">
        <v>807.1</v>
      </c>
      <c r="D428" s="2">
        <v>0.8</v>
      </c>
      <c r="E428" s="2">
        <v>0.97</v>
      </c>
      <c r="F428" s="2">
        <v>50.0</v>
      </c>
      <c r="G428" s="4">
        <v>44460.82485616898</v>
      </c>
      <c r="H428" s="8">
        <v>44460.0</v>
      </c>
    </row>
    <row r="429">
      <c r="A429" s="2">
        <v>3.63</v>
      </c>
      <c r="B429" s="2">
        <v>228.1</v>
      </c>
      <c r="C429" s="2">
        <v>807.2</v>
      </c>
      <c r="D429" s="2">
        <v>0.8</v>
      </c>
      <c r="E429" s="2">
        <v>0.97</v>
      </c>
      <c r="F429" s="2">
        <v>50.0</v>
      </c>
      <c r="G429" s="4">
        <v>44460.824954826385</v>
      </c>
      <c r="H429" s="8">
        <v>44460.0</v>
      </c>
    </row>
    <row r="430">
      <c r="A430" s="2">
        <v>3.63</v>
      </c>
      <c r="B430" s="2">
        <v>228.1</v>
      </c>
      <c r="C430" s="2">
        <v>807.1</v>
      </c>
      <c r="D430" s="2">
        <v>0.8</v>
      </c>
      <c r="E430" s="2">
        <v>0.97</v>
      </c>
      <c r="F430" s="2">
        <v>50.0</v>
      </c>
      <c r="G430" s="4">
        <v>44460.82505189815</v>
      </c>
      <c r="H430" s="8">
        <v>44460.0</v>
      </c>
    </row>
    <row r="431">
      <c r="A431" s="2">
        <v>3.63</v>
      </c>
      <c r="B431" s="2">
        <v>227.9</v>
      </c>
      <c r="C431" s="2">
        <v>807.3</v>
      </c>
      <c r="D431" s="2">
        <v>0.8</v>
      </c>
      <c r="E431" s="2">
        <v>0.97</v>
      </c>
      <c r="F431" s="2">
        <v>50.0</v>
      </c>
      <c r="G431" s="4">
        <v>44460.8251515625</v>
      </c>
      <c r="H431" s="8">
        <v>44460.0</v>
      </c>
    </row>
    <row r="432">
      <c r="A432" s="2">
        <v>3.63</v>
      </c>
      <c r="B432" s="2">
        <v>227.9</v>
      </c>
      <c r="C432" s="2">
        <v>807.4</v>
      </c>
      <c r="D432" s="2">
        <v>0.81</v>
      </c>
      <c r="E432" s="2">
        <v>0.97</v>
      </c>
      <c r="F432" s="2">
        <v>50.0</v>
      </c>
      <c r="G432" s="4">
        <v>44460.82525677083</v>
      </c>
      <c r="H432" s="8">
        <v>44460.0</v>
      </c>
    </row>
    <row r="433">
      <c r="A433" s="2">
        <v>3.63</v>
      </c>
      <c r="B433" s="2">
        <v>227.9</v>
      </c>
      <c r="C433" s="2">
        <v>807.4</v>
      </c>
      <c r="D433" s="2">
        <v>0.81</v>
      </c>
      <c r="E433" s="2">
        <v>0.97</v>
      </c>
      <c r="F433" s="2">
        <v>50.0</v>
      </c>
      <c r="G433" s="4">
        <v>44460.825357511574</v>
      </c>
      <c r="H433" s="8">
        <v>44460.0</v>
      </c>
    </row>
    <row r="434">
      <c r="A434" s="2">
        <v>3.63</v>
      </c>
      <c r="B434" s="2">
        <v>228.0</v>
      </c>
      <c r="C434" s="2">
        <v>807.4</v>
      </c>
      <c r="D434" s="2">
        <v>0.81</v>
      </c>
      <c r="E434" s="2">
        <v>0.97</v>
      </c>
      <c r="F434" s="2">
        <v>50.0</v>
      </c>
      <c r="G434" s="4">
        <v>44460.82545724537</v>
      </c>
      <c r="H434" s="8">
        <v>44460.0</v>
      </c>
    </row>
    <row r="435">
      <c r="A435" s="2">
        <v>3.64</v>
      </c>
      <c r="B435" s="2">
        <v>227.9</v>
      </c>
      <c r="C435" s="2">
        <v>807.5</v>
      </c>
      <c r="D435" s="2">
        <v>0.81</v>
      </c>
      <c r="E435" s="2">
        <v>0.97</v>
      </c>
      <c r="F435" s="2">
        <v>50.0</v>
      </c>
      <c r="G435" s="4">
        <v>44460.82555962963</v>
      </c>
      <c r="H435" s="8">
        <v>44460.0</v>
      </c>
    </row>
    <row r="436">
      <c r="A436" s="2">
        <v>3.64</v>
      </c>
      <c r="B436" s="2">
        <v>227.7</v>
      </c>
      <c r="C436" s="2">
        <v>807.6</v>
      </c>
      <c r="D436" s="2">
        <v>0.81</v>
      </c>
      <c r="E436" s="2">
        <v>0.97</v>
      </c>
      <c r="F436" s="2">
        <v>50.0</v>
      </c>
      <c r="G436" s="4">
        <v>44460.82566530093</v>
      </c>
      <c r="H436" s="8">
        <v>44460.0</v>
      </c>
    </row>
    <row r="437">
      <c r="A437" s="2">
        <v>3.64</v>
      </c>
      <c r="B437" s="2">
        <v>227.6</v>
      </c>
      <c r="C437" s="2">
        <v>807.6</v>
      </c>
      <c r="D437" s="2">
        <v>0.81</v>
      </c>
      <c r="E437" s="2">
        <v>0.97</v>
      </c>
      <c r="F437" s="2">
        <v>49.9</v>
      </c>
      <c r="G437" s="4">
        <v>44460.825766354166</v>
      </c>
      <c r="H437" s="8">
        <v>44460.0</v>
      </c>
    </row>
    <row r="438">
      <c r="A438" s="2">
        <v>3.63</v>
      </c>
      <c r="B438" s="2">
        <v>228.5</v>
      </c>
      <c r="C438" s="2">
        <v>807.6</v>
      </c>
      <c r="D438" s="2">
        <v>0.82</v>
      </c>
      <c r="E438" s="2">
        <v>0.97</v>
      </c>
      <c r="F438" s="2">
        <v>49.9</v>
      </c>
      <c r="G438" s="4">
        <v>44460.82586496528</v>
      </c>
      <c r="H438" s="8">
        <v>44460.0</v>
      </c>
    </row>
    <row r="439">
      <c r="A439" s="2">
        <v>3.63</v>
      </c>
      <c r="B439" s="2">
        <v>228.6</v>
      </c>
      <c r="C439" s="2">
        <v>807.6</v>
      </c>
      <c r="D439" s="2">
        <v>0.82</v>
      </c>
      <c r="E439" s="2">
        <v>0.97</v>
      </c>
      <c r="F439" s="2">
        <v>49.9</v>
      </c>
      <c r="G439" s="4">
        <v>44460.825981435184</v>
      </c>
      <c r="H439" s="8">
        <v>44460.0</v>
      </c>
    </row>
    <row r="440">
      <c r="A440" s="2">
        <v>3.63</v>
      </c>
      <c r="B440" s="2">
        <v>228.6</v>
      </c>
      <c r="C440" s="2">
        <v>807.6</v>
      </c>
      <c r="D440" s="2">
        <v>0.82</v>
      </c>
      <c r="E440" s="2">
        <v>0.97</v>
      </c>
      <c r="F440" s="2">
        <v>49.9</v>
      </c>
      <c r="G440" s="4">
        <v>44460.826078645834</v>
      </c>
      <c r="H440" s="8">
        <v>44460.0</v>
      </c>
    </row>
    <row r="441">
      <c r="A441" s="2">
        <v>3.62</v>
      </c>
      <c r="B441" s="2">
        <v>228.8</v>
      </c>
      <c r="C441" s="2">
        <v>807.6</v>
      </c>
      <c r="D441" s="2">
        <v>0.82</v>
      </c>
      <c r="E441" s="2">
        <v>0.97</v>
      </c>
      <c r="F441" s="2">
        <v>49.9</v>
      </c>
      <c r="G441" s="4">
        <v>44460.82617429398</v>
      </c>
      <c r="H441" s="8">
        <v>44460.0</v>
      </c>
    </row>
    <row r="442">
      <c r="A442" s="2">
        <v>3.63</v>
      </c>
      <c r="B442" s="2">
        <v>228.7</v>
      </c>
      <c r="C442" s="2">
        <v>807.8</v>
      </c>
      <c r="D442" s="2">
        <v>0.82</v>
      </c>
      <c r="E442" s="2">
        <v>0.97</v>
      </c>
      <c r="F442" s="2">
        <v>49.9</v>
      </c>
      <c r="G442" s="4">
        <v>44460.82627005787</v>
      </c>
      <c r="H442" s="8">
        <v>44460.0</v>
      </c>
    </row>
    <row r="443">
      <c r="A443" s="2">
        <v>3.62</v>
      </c>
      <c r="B443" s="2">
        <v>228.8</v>
      </c>
      <c r="C443" s="2">
        <v>807.8</v>
      </c>
      <c r="D443" s="2">
        <v>0.83</v>
      </c>
      <c r="E443" s="2">
        <v>0.97</v>
      </c>
      <c r="F443" s="2">
        <v>50.0</v>
      </c>
      <c r="G443" s="4">
        <v>44460.82636614583</v>
      </c>
      <c r="H443" s="8">
        <v>44460.0</v>
      </c>
    </row>
    <row r="444">
      <c r="A444" s="2">
        <v>3.62</v>
      </c>
      <c r="B444" s="2">
        <v>228.8</v>
      </c>
      <c r="C444" s="2">
        <v>807.8</v>
      </c>
      <c r="D444" s="2">
        <v>0.83</v>
      </c>
      <c r="E444" s="2">
        <v>0.97</v>
      </c>
      <c r="F444" s="2">
        <v>50.0</v>
      </c>
      <c r="G444" s="4">
        <v>44460.82646246528</v>
      </c>
      <c r="H444" s="8">
        <v>44460.0</v>
      </c>
    </row>
    <row r="445">
      <c r="A445" s="2">
        <v>3.62</v>
      </c>
      <c r="B445" s="2">
        <v>228.9</v>
      </c>
      <c r="C445" s="2">
        <v>807.8</v>
      </c>
      <c r="D445" s="2">
        <v>0.83</v>
      </c>
      <c r="E445" s="2">
        <v>0.97</v>
      </c>
      <c r="F445" s="2">
        <v>50.0</v>
      </c>
      <c r="G445" s="4">
        <v>44460.82655987269</v>
      </c>
      <c r="H445" s="8">
        <v>44460.0</v>
      </c>
    </row>
    <row r="446">
      <c r="A446" s="2">
        <v>3.62</v>
      </c>
      <c r="B446" s="2">
        <v>228.9</v>
      </c>
      <c r="C446" s="2">
        <v>807.9</v>
      </c>
      <c r="D446" s="2">
        <v>0.83</v>
      </c>
      <c r="E446" s="2">
        <v>0.97</v>
      </c>
      <c r="F446" s="2">
        <v>50.0</v>
      </c>
      <c r="G446" s="4">
        <v>44460.82665768519</v>
      </c>
      <c r="H446" s="8">
        <v>44460.0</v>
      </c>
    </row>
    <row r="447">
      <c r="A447" s="2">
        <v>3.62</v>
      </c>
      <c r="B447" s="2">
        <v>228.8</v>
      </c>
      <c r="C447" s="2">
        <v>808.0</v>
      </c>
      <c r="D447" s="2">
        <v>0.83</v>
      </c>
      <c r="E447" s="2">
        <v>0.97</v>
      </c>
      <c r="F447" s="2">
        <v>50.0</v>
      </c>
      <c r="G447" s="4">
        <v>44460.82675528935</v>
      </c>
      <c r="H447" s="8">
        <v>44460.0</v>
      </c>
    </row>
    <row r="448">
      <c r="A448" s="2">
        <v>3.62</v>
      </c>
      <c r="B448" s="2">
        <v>228.8</v>
      </c>
      <c r="C448" s="2">
        <v>808.1</v>
      </c>
      <c r="D448" s="2">
        <v>0.84</v>
      </c>
      <c r="E448" s="2">
        <v>0.97</v>
      </c>
      <c r="F448" s="2">
        <v>50.0</v>
      </c>
      <c r="G448" s="4">
        <v>44460.82685146991</v>
      </c>
      <c r="H448" s="8">
        <v>44460.0</v>
      </c>
    </row>
    <row r="449">
      <c r="A449" s="2">
        <v>3.62</v>
      </c>
      <c r="B449" s="2">
        <v>228.8</v>
      </c>
      <c r="C449" s="2">
        <v>808.1</v>
      </c>
      <c r="D449" s="2">
        <v>0.84</v>
      </c>
      <c r="E449" s="2">
        <v>0.97</v>
      </c>
      <c r="F449" s="2">
        <v>50.0</v>
      </c>
      <c r="G449" s="4">
        <v>44460.82695221065</v>
      </c>
      <c r="H449" s="8">
        <v>44460.0</v>
      </c>
    </row>
    <row r="450">
      <c r="A450" s="2">
        <v>3.63</v>
      </c>
      <c r="B450" s="2">
        <v>228.8</v>
      </c>
      <c r="C450" s="2">
        <v>808.3</v>
      </c>
      <c r="D450" s="2">
        <v>0.84</v>
      </c>
      <c r="E450" s="2">
        <v>0.97</v>
      </c>
      <c r="F450" s="2">
        <v>50.0</v>
      </c>
      <c r="G450" s="4">
        <v>44460.827052465276</v>
      </c>
      <c r="H450" s="8">
        <v>44460.0</v>
      </c>
    </row>
    <row r="451">
      <c r="A451" s="2">
        <v>3.63</v>
      </c>
      <c r="B451" s="2">
        <v>228.7</v>
      </c>
      <c r="C451" s="2">
        <v>808.2</v>
      </c>
      <c r="D451" s="2">
        <v>0.84</v>
      </c>
      <c r="E451" s="2">
        <v>0.97</v>
      </c>
      <c r="F451" s="2">
        <v>49.9</v>
      </c>
      <c r="G451" s="4">
        <v>44460.827149432866</v>
      </c>
      <c r="H451" s="8">
        <v>44460.0</v>
      </c>
    </row>
    <row r="452">
      <c r="A452" s="2">
        <v>3.62</v>
      </c>
      <c r="B452" s="2">
        <v>228.9</v>
      </c>
      <c r="C452" s="2">
        <v>808.2</v>
      </c>
      <c r="D452" s="2">
        <v>0.84</v>
      </c>
      <c r="E452" s="2">
        <v>0.97</v>
      </c>
      <c r="F452" s="2">
        <v>50.0</v>
      </c>
      <c r="G452" s="4">
        <v>44460.82724934028</v>
      </c>
      <c r="H452" s="8">
        <v>44460.0</v>
      </c>
    </row>
    <row r="453">
      <c r="A453" s="2">
        <v>3.63</v>
      </c>
      <c r="B453" s="2">
        <v>228.8</v>
      </c>
      <c r="C453" s="2">
        <v>808.4</v>
      </c>
      <c r="D453" s="2">
        <v>0.85</v>
      </c>
      <c r="E453" s="2">
        <v>0.97</v>
      </c>
      <c r="F453" s="2">
        <v>50.0</v>
      </c>
      <c r="G453" s="4">
        <v>44460.82735413194</v>
      </c>
      <c r="H453" s="8">
        <v>44460.0</v>
      </c>
    </row>
    <row r="454">
      <c r="A454" s="2">
        <v>3.63</v>
      </c>
      <c r="B454" s="2">
        <v>228.8</v>
      </c>
      <c r="C454" s="2">
        <v>808.4</v>
      </c>
      <c r="D454" s="2">
        <v>0.85</v>
      </c>
      <c r="E454" s="2">
        <v>0.97</v>
      </c>
      <c r="F454" s="2">
        <v>50.0</v>
      </c>
      <c r="G454" s="4">
        <v>44460.82745660879</v>
      </c>
      <c r="H454" s="8">
        <v>44460.0</v>
      </c>
    </row>
    <row r="455">
      <c r="A455" s="2">
        <v>3.63</v>
      </c>
      <c r="B455" s="2">
        <v>228.7</v>
      </c>
      <c r="C455" s="2">
        <v>808.5</v>
      </c>
      <c r="D455" s="2">
        <v>0.85</v>
      </c>
      <c r="E455" s="2">
        <v>0.97</v>
      </c>
      <c r="F455" s="2">
        <v>50.0</v>
      </c>
      <c r="G455" s="4">
        <v>44460.82755420139</v>
      </c>
      <c r="H455" s="8">
        <v>44460.0</v>
      </c>
    </row>
    <row r="456">
      <c r="A456" s="2">
        <v>3.62</v>
      </c>
      <c r="B456" s="2">
        <v>228.9</v>
      </c>
      <c r="C456" s="2">
        <v>808.6</v>
      </c>
      <c r="D456" s="2">
        <v>0.85</v>
      </c>
      <c r="E456" s="2">
        <v>0.97</v>
      </c>
      <c r="F456" s="2">
        <v>50.0</v>
      </c>
      <c r="G456" s="4">
        <v>44460.827651307874</v>
      </c>
      <c r="H456" s="8">
        <v>44460.0</v>
      </c>
    </row>
    <row r="457">
      <c r="A457" s="2">
        <v>3.62</v>
      </c>
      <c r="B457" s="2">
        <v>229.0</v>
      </c>
      <c r="C457" s="2">
        <v>808.5</v>
      </c>
      <c r="D457" s="2">
        <v>0.85</v>
      </c>
      <c r="E457" s="2">
        <v>0.97</v>
      </c>
      <c r="F457" s="2">
        <v>50.0</v>
      </c>
      <c r="G457" s="4">
        <v>44460.82774998843</v>
      </c>
      <c r="H457" s="8">
        <v>44460.0</v>
      </c>
    </row>
    <row r="458">
      <c r="A458" s="2">
        <v>3.63</v>
      </c>
      <c r="B458" s="2">
        <v>228.9</v>
      </c>
      <c r="C458" s="2">
        <v>808.7</v>
      </c>
      <c r="D458" s="2">
        <v>0.86</v>
      </c>
      <c r="E458" s="2">
        <v>0.97</v>
      </c>
      <c r="F458" s="2">
        <v>50.0</v>
      </c>
      <c r="G458" s="4">
        <v>44460.827849837966</v>
      </c>
      <c r="H458" s="8">
        <v>44460.0</v>
      </c>
    </row>
    <row r="459">
      <c r="A459" s="2">
        <v>3.62</v>
      </c>
      <c r="B459" s="2">
        <v>229.0</v>
      </c>
      <c r="C459" s="2">
        <v>808.7</v>
      </c>
      <c r="D459" s="2">
        <v>0.86</v>
      </c>
      <c r="E459" s="2">
        <v>0.97</v>
      </c>
      <c r="F459" s="2">
        <v>50.0</v>
      </c>
      <c r="G459" s="4">
        <v>44460.827956423615</v>
      </c>
      <c r="H459" s="8">
        <v>44460.0</v>
      </c>
    </row>
    <row r="460">
      <c r="A460" s="2">
        <v>3.63</v>
      </c>
      <c r="B460" s="2">
        <v>228.9</v>
      </c>
      <c r="C460" s="2">
        <v>808.8</v>
      </c>
      <c r="D460" s="2">
        <v>0.86</v>
      </c>
      <c r="E460" s="2">
        <v>0.97</v>
      </c>
      <c r="F460" s="2">
        <v>50.0</v>
      </c>
      <c r="G460" s="4">
        <v>44460.82805085648</v>
      </c>
      <c r="H460" s="8">
        <v>44460.0</v>
      </c>
    </row>
    <row r="461">
      <c r="A461" s="2">
        <v>3.63</v>
      </c>
      <c r="B461" s="2">
        <v>228.7</v>
      </c>
      <c r="C461" s="2">
        <v>808.8</v>
      </c>
      <c r="D461" s="2">
        <v>0.86</v>
      </c>
      <c r="E461" s="2">
        <v>0.97</v>
      </c>
      <c r="F461" s="2">
        <v>50.0</v>
      </c>
      <c r="G461" s="4">
        <v>44460.828147673616</v>
      </c>
      <c r="H461" s="8">
        <v>44460.0</v>
      </c>
    </row>
    <row r="462">
      <c r="A462" s="2">
        <v>3.62</v>
      </c>
      <c r="B462" s="2">
        <v>229.0</v>
      </c>
      <c r="C462" s="2">
        <v>808.9</v>
      </c>
      <c r="D462" s="2">
        <v>0.86</v>
      </c>
      <c r="E462" s="2">
        <v>0.97</v>
      </c>
      <c r="F462" s="2">
        <v>50.0</v>
      </c>
      <c r="G462" s="4">
        <v>44460.828244027776</v>
      </c>
      <c r="H462" s="8">
        <v>44460.0</v>
      </c>
    </row>
    <row r="463">
      <c r="A463" s="2">
        <v>3.63</v>
      </c>
      <c r="B463" s="2">
        <v>228.9</v>
      </c>
      <c r="C463" s="2">
        <v>808.9</v>
      </c>
      <c r="D463" s="2">
        <v>0.87</v>
      </c>
      <c r="E463" s="2">
        <v>0.97</v>
      </c>
      <c r="F463" s="2">
        <v>50.0</v>
      </c>
      <c r="G463" s="4">
        <v>44460.82834961805</v>
      </c>
      <c r="H463" s="8">
        <v>44460.0</v>
      </c>
    </row>
    <row r="464">
      <c r="A464" s="2">
        <v>3.63</v>
      </c>
      <c r="B464" s="2">
        <v>228.9</v>
      </c>
      <c r="C464" s="2">
        <v>809.0</v>
      </c>
      <c r="D464" s="2">
        <v>0.87</v>
      </c>
      <c r="E464" s="2">
        <v>0.97</v>
      </c>
      <c r="F464" s="2">
        <v>50.0</v>
      </c>
      <c r="G464" s="4">
        <v>44460.82845134259</v>
      </c>
      <c r="H464" s="8">
        <v>44460.0</v>
      </c>
    </row>
    <row r="465">
      <c r="A465" s="2">
        <v>3.63</v>
      </c>
      <c r="B465" s="2">
        <v>228.9</v>
      </c>
      <c r="C465" s="2">
        <v>809.0</v>
      </c>
      <c r="D465" s="2">
        <v>0.87</v>
      </c>
      <c r="E465" s="2">
        <v>0.97</v>
      </c>
      <c r="F465" s="2">
        <v>50.0</v>
      </c>
      <c r="G465" s="4">
        <v>44460.82854840277</v>
      </c>
      <c r="H465" s="8">
        <v>44460.0</v>
      </c>
    </row>
    <row r="466">
      <c r="A466" s="2">
        <v>3.63</v>
      </c>
      <c r="B466" s="2">
        <v>229.0</v>
      </c>
      <c r="C466" s="2">
        <v>809.0</v>
      </c>
      <c r="D466" s="2">
        <v>0.87</v>
      </c>
      <c r="E466" s="2">
        <v>0.97</v>
      </c>
      <c r="F466" s="2">
        <v>50.0</v>
      </c>
      <c r="G466" s="4">
        <v>44460.828645347225</v>
      </c>
      <c r="H466" s="8">
        <v>44460.0</v>
      </c>
    </row>
    <row r="467">
      <c r="A467" s="2">
        <v>3.63</v>
      </c>
      <c r="B467" s="2">
        <v>228.9</v>
      </c>
      <c r="C467" s="2">
        <v>809.1</v>
      </c>
      <c r="D467" s="2">
        <v>0.87</v>
      </c>
      <c r="E467" s="2">
        <v>0.97</v>
      </c>
      <c r="F467" s="2">
        <v>50.0</v>
      </c>
      <c r="G467" s="4">
        <v>44460.828750671295</v>
      </c>
      <c r="H467" s="8">
        <v>44460.0</v>
      </c>
    </row>
    <row r="468">
      <c r="A468" s="2">
        <v>3.62</v>
      </c>
      <c r="B468" s="2">
        <v>229.2</v>
      </c>
      <c r="C468" s="2">
        <v>809.1</v>
      </c>
      <c r="D468" s="2">
        <v>0.88</v>
      </c>
      <c r="E468" s="2">
        <v>0.97</v>
      </c>
      <c r="F468" s="2">
        <v>50.0</v>
      </c>
      <c r="G468" s="4">
        <v>44460.828848923615</v>
      </c>
      <c r="H468" s="8">
        <v>44460.0</v>
      </c>
    </row>
    <row r="469">
      <c r="A469" s="2">
        <v>3.63</v>
      </c>
      <c r="B469" s="2">
        <v>229.0</v>
      </c>
      <c r="C469" s="2">
        <v>809.2</v>
      </c>
      <c r="D469" s="2">
        <v>0.88</v>
      </c>
      <c r="E469" s="2">
        <v>0.97</v>
      </c>
      <c r="F469" s="2">
        <v>50.0</v>
      </c>
      <c r="G469" s="4">
        <v>44460.82895524305</v>
      </c>
      <c r="H469" s="8">
        <v>44460.0</v>
      </c>
    </row>
    <row r="470">
      <c r="A470" s="2">
        <v>3.63</v>
      </c>
      <c r="B470" s="2">
        <v>229.1</v>
      </c>
      <c r="C470" s="2">
        <v>809.3</v>
      </c>
      <c r="D470" s="2">
        <v>0.88</v>
      </c>
      <c r="E470" s="2">
        <v>0.97</v>
      </c>
      <c r="F470" s="2">
        <v>50.0</v>
      </c>
      <c r="G470" s="4">
        <v>44460.829061076394</v>
      </c>
      <c r="H470" s="8">
        <v>44460.0</v>
      </c>
    </row>
    <row r="471">
      <c r="A471" s="2">
        <v>3.62</v>
      </c>
      <c r="B471" s="2">
        <v>229.1</v>
      </c>
      <c r="C471" s="2">
        <v>809.3</v>
      </c>
      <c r="D471" s="2">
        <v>0.88</v>
      </c>
      <c r="E471" s="2">
        <v>0.97</v>
      </c>
      <c r="F471" s="2">
        <v>50.0</v>
      </c>
      <c r="G471" s="4">
        <v>44460.829162442125</v>
      </c>
      <c r="H471" s="8">
        <v>44460.0</v>
      </c>
    </row>
    <row r="472">
      <c r="A472" s="2">
        <v>3.62</v>
      </c>
      <c r="B472" s="2">
        <v>229.2</v>
      </c>
      <c r="C472" s="2">
        <v>809.4</v>
      </c>
      <c r="D472" s="2">
        <v>0.88</v>
      </c>
      <c r="E472" s="2">
        <v>0.97</v>
      </c>
      <c r="F472" s="2">
        <v>50.0</v>
      </c>
      <c r="G472" s="4">
        <v>44460.82925664352</v>
      </c>
      <c r="H472" s="8">
        <v>44460.0</v>
      </c>
    </row>
    <row r="473">
      <c r="A473" s="2">
        <v>3.63</v>
      </c>
      <c r="B473" s="2">
        <v>229.1</v>
      </c>
      <c r="C473" s="2">
        <v>809.4</v>
      </c>
      <c r="D473" s="2">
        <v>0.88</v>
      </c>
      <c r="E473" s="2">
        <v>0.97</v>
      </c>
      <c r="F473" s="2">
        <v>50.0</v>
      </c>
      <c r="G473" s="4">
        <v>44460.82935579861</v>
      </c>
      <c r="H473" s="8">
        <v>44460.0</v>
      </c>
    </row>
    <row r="474">
      <c r="A474" s="2">
        <v>3.63</v>
      </c>
      <c r="B474" s="2">
        <v>229.1</v>
      </c>
      <c r="C474" s="2">
        <v>809.5</v>
      </c>
      <c r="D474" s="2">
        <v>0.89</v>
      </c>
      <c r="E474" s="2">
        <v>0.97</v>
      </c>
      <c r="F474" s="2">
        <v>50.0</v>
      </c>
      <c r="G474" s="4">
        <v>44460.829451157406</v>
      </c>
      <c r="H474" s="8">
        <v>44460.0</v>
      </c>
    </row>
    <row r="475">
      <c r="A475" s="2">
        <v>3.62</v>
      </c>
      <c r="B475" s="2">
        <v>229.2</v>
      </c>
      <c r="C475" s="2">
        <v>809.6</v>
      </c>
      <c r="D475" s="2">
        <v>0.89</v>
      </c>
      <c r="E475" s="2">
        <v>0.97</v>
      </c>
      <c r="F475" s="2">
        <v>50.0</v>
      </c>
      <c r="G475" s="4">
        <v>44460.82955938658</v>
      </c>
      <c r="H475" s="8">
        <v>44460.0</v>
      </c>
    </row>
    <row r="476">
      <c r="A476" s="2">
        <v>3.62</v>
      </c>
      <c r="B476" s="2">
        <v>229.3</v>
      </c>
      <c r="C476" s="2">
        <v>809.6</v>
      </c>
      <c r="D476" s="2">
        <v>0.89</v>
      </c>
      <c r="E476" s="2">
        <v>0.97</v>
      </c>
      <c r="F476" s="2">
        <v>50.0</v>
      </c>
      <c r="G476" s="4">
        <v>44460.8296662037</v>
      </c>
      <c r="H476" s="8">
        <v>44460.0</v>
      </c>
    </row>
    <row r="477">
      <c r="A477" s="2">
        <v>3.62</v>
      </c>
      <c r="B477" s="2">
        <v>229.3</v>
      </c>
      <c r="C477" s="2">
        <v>809.5</v>
      </c>
      <c r="D477" s="2">
        <v>0.89</v>
      </c>
      <c r="E477" s="2">
        <v>0.97</v>
      </c>
      <c r="F477" s="2">
        <v>50.0</v>
      </c>
      <c r="G477" s="4">
        <v>44460.82977251157</v>
      </c>
      <c r="H477" s="8">
        <v>44460.0</v>
      </c>
    </row>
    <row r="478">
      <c r="A478" s="2">
        <v>3.63</v>
      </c>
      <c r="B478" s="2">
        <v>229.4</v>
      </c>
      <c r="C478" s="2">
        <v>812.2</v>
      </c>
      <c r="D478" s="2">
        <v>0.89</v>
      </c>
      <c r="E478" s="2">
        <v>0.97</v>
      </c>
      <c r="F478" s="2">
        <v>50.0</v>
      </c>
      <c r="G478" s="4">
        <v>44460.829876550924</v>
      </c>
      <c r="H478" s="8">
        <v>44460.0</v>
      </c>
    </row>
    <row r="479">
      <c r="A479" s="2">
        <v>3.64</v>
      </c>
      <c r="B479" s="2">
        <v>229.2</v>
      </c>
      <c r="C479" s="2">
        <v>812.3</v>
      </c>
      <c r="D479" s="2">
        <v>0.9</v>
      </c>
      <c r="E479" s="2">
        <v>0.97</v>
      </c>
      <c r="F479" s="2">
        <v>50.0</v>
      </c>
      <c r="G479" s="4">
        <v>44460.82998197917</v>
      </c>
      <c r="H479" s="8">
        <v>44460.0</v>
      </c>
    </row>
    <row r="480">
      <c r="A480" s="2">
        <v>3.64</v>
      </c>
      <c r="B480" s="2">
        <v>229.2</v>
      </c>
      <c r="C480" s="2">
        <v>812.3</v>
      </c>
      <c r="D480" s="2">
        <v>0.9</v>
      </c>
      <c r="E480" s="2">
        <v>0.97</v>
      </c>
      <c r="F480" s="2">
        <v>50.0</v>
      </c>
      <c r="G480" s="4">
        <v>44460.83008665509</v>
      </c>
      <c r="H480" s="8">
        <v>44460.0</v>
      </c>
    </row>
    <row r="481">
      <c r="A481" s="2">
        <v>3.64</v>
      </c>
      <c r="B481" s="2">
        <v>229.3</v>
      </c>
      <c r="C481" s="2">
        <v>812.3</v>
      </c>
      <c r="D481" s="2">
        <v>0.9</v>
      </c>
      <c r="E481" s="2">
        <v>0.97</v>
      </c>
      <c r="F481" s="2">
        <v>50.0</v>
      </c>
      <c r="G481" s="4">
        <v>44460.83018689815</v>
      </c>
      <c r="H481" s="8">
        <v>44460.0</v>
      </c>
    </row>
    <row r="482">
      <c r="A482" s="2">
        <v>3.63</v>
      </c>
      <c r="B482" s="2">
        <v>229.4</v>
      </c>
      <c r="C482" s="2">
        <v>812.4</v>
      </c>
      <c r="D482" s="2">
        <v>0.9</v>
      </c>
      <c r="E482" s="2">
        <v>0.97</v>
      </c>
      <c r="F482" s="2">
        <v>50.0</v>
      </c>
      <c r="G482" s="4">
        <v>44460.83029009259</v>
      </c>
      <c r="H482" s="8">
        <v>44460.0</v>
      </c>
    </row>
    <row r="483">
      <c r="A483" s="2">
        <v>3.64</v>
      </c>
      <c r="B483" s="2">
        <v>229.3</v>
      </c>
      <c r="C483" s="2">
        <v>812.4</v>
      </c>
      <c r="D483" s="2">
        <v>0.9</v>
      </c>
      <c r="E483" s="2">
        <v>0.97</v>
      </c>
      <c r="F483" s="2">
        <v>50.0</v>
      </c>
      <c r="G483" s="4">
        <v>44460.8303950463</v>
      </c>
      <c r="H483" s="8">
        <v>44460.0</v>
      </c>
    </row>
    <row r="484">
      <c r="A484" s="2">
        <v>3.64</v>
      </c>
      <c r="B484" s="2">
        <v>229.3</v>
      </c>
      <c r="C484" s="2">
        <v>812.4</v>
      </c>
      <c r="D484" s="2">
        <v>0.91</v>
      </c>
      <c r="E484" s="2">
        <v>0.97</v>
      </c>
      <c r="F484" s="2">
        <v>50.0</v>
      </c>
      <c r="G484" s="4">
        <v>44460.830498090276</v>
      </c>
      <c r="H484" s="8">
        <v>44460.0</v>
      </c>
    </row>
    <row r="485">
      <c r="A485" s="2">
        <v>3.64</v>
      </c>
      <c r="B485" s="2">
        <v>229.2</v>
      </c>
      <c r="C485" s="2">
        <v>812.5</v>
      </c>
      <c r="D485" s="2">
        <v>0.91</v>
      </c>
      <c r="E485" s="2">
        <v>0.97</v>
      </c>
      <c r="F485" s="2">
        <v>49.9</v>
      </c>
      <c r="G485" s="4">
        <v>44460.83060126158</v>
      </c>
      <c r="H485" s="8">
        <v>44460.0</v>
      </c>
    </row>
    <row r="486">
      <c r="A486" s="2">
        <v>3.64</v>
      </c>
      <c r="B486" s="2">
        <v>229.2</v>
      </c>
      <c r="C486" s="2">
        <v>812.6</v>
      </c>
      <c r="D486" s="2">
        <v>0.91</v>
      </c>
      <c r="E486" s="2">
        <v>0.97</v>
      </c>
      <c r="F486" s="2">
        <v>49.9</v>
      </c>
      <c r="G486" s="4">
        <v>44460.83070150463</v>
      </c>
      <c r="H486" s="8">
        <v>44460.0</v>
      </c>
    </row>
    <row r="487">
      <c r="A487" s="2">
        <v>3.64</v>
      </c>
      <c r="B487" s="2">
        <v>229.2</v>
      </c>
      <c r="C487" s="2">
        <v>812.7</v>
      </c>
      <c r="D487" s="2">
        <v>0.91</v>
      </c>
      <c r="E487" s="2">
        <v>0.97</v>
      </c>
      <c r="F487" s="2">
        <v>49.9</v>
      </c>
      <c r="G487" s="4">
        <v>44460.83080053241</v>
      </c>
      <c r="H487" s="8">
        <v>44460.0</v>
      </c>
    </row>
    <row r="488">
      <c r="A488" s="2">
        <v>3.64</v>
      </c>
      <c r="B488" s="2">
        <v>229.3</v>
      </c>
      <c r="C488" s="2">
        <v>812.8</v>
      </c>
      <c r="D488" s="2">
        <v>0.92</v>
      </c>
      <c r="E488" s="2">
        <v>0.97</v>
      </c>
      <c r="F488" s="2">
        <v>50.0</v>
      </c>
      <c r="G488" s="4">
        <v>44460.83089810185</v>
      </c>
      <c r="H488" s="8">
        <v>44460.0</v>
      </c>
    </row>
    <row r="489">
      <c r="A489" s="2">
        <v>3.64</v>
      </c>
      <c r="B489" s="2">
        <v>229.3</v>
      </c>
      <c r="C489" s="2">
        <v>812.7</v>
      </c>
      <c r="D489" s="2">
        <v>0.92</v>
      </c>
      <c r="E489" s="2">
        <v>0.97</v>
      </c>
      <c r="F489" s="2">
        <v>50.0</v>
      </c>
      <c r="G489" s="4">
        <v>44460.83099353009</v>
      </c>
      <c r="H489" s="8">
        <v>44460.0</v>
      </c>
    </row>
    <row r="490">
      <c r="A490" s="2">
        <v>3.64</v>
      </c>
      <c r="B490" s="2">
        <v>229.3</v>
      </c>
      <c r="C490" s="2">
        <v>812.9</v>
      </c>
      <c r="D490" s="2">
        <v>0.92</v>
      </c>
      <c r="E490" s="2">
        <v>0.97</v>
      </c>
      <c r="F490" s="2">
        <v>50.0</v>
      </c>
      <c r="G490" s="4">
        <v>44460.83109170139</v>
      </c>
      <c r="H490" s="8">
        <v>44460.0</v>
      </c>
    </row>
    <row r="491">
      <c r="A491" s="2">
        <v>3.64</v>
      </c>
      <c r="B491" s="2">
        <v>229.3</v>
      </c>
      <c r="C491" s="2">
        <v>812.8</v>
      </c>
      <c r="D491" s="2">
        <v>0.92</v>
      </c>
      <c r="E491" s="2">
        <v>0.97</v>
      </c>
      <c r="F491" s="2">
        <v>50.0</v>
      </c>
      <c r="G491" s="4">
        <v>44460.83118761574</v>
      </c>
      <c r="H491" s="8">
        <v>44460.0</v>
      </c>
    </row>
    <row r="492">
      <c r="A492" s="2">
        <v>3.64</v>
      </c>
      <c r="B492" s="2">
        <v>229.4</v>
      </c>
      <c r="C492" s="2">
        <v>812.9</v>
      </c>
      <c r="D492" s="2">
        <v>0.92</v>
      </c>
      <c r="E492" s="2">
        <v>0.97</v>
      </c>
      <c r="F492" s="2">
        <v>50.0</v>
      </c>
      <c r="G492" s="4">
        <v>44460.83128362268</v>
      </c>
      <c r="H492" s="8">
        <v>44460.0</v>
      </c>
    </row>
    <row r="493">
      <c r="A493" s="2">
        <v>3.64</v>
      </c>
      <c r="B493" s="2">
        <v>229.3</v>
      </c>
      <c r="C493" s="2">
        <v>812.9</v>
      </c>
      <c r="D493" s="2">
        <v>0.92</v>
      </c>
      <c r="E493" s="2">
        <v>0.97</v>
      </c>
      <c r="F493" s="2">
        <v>50.0</v>
      </c>
      <c r="G493" s="4">
        <v>44460.83138186343</v>
      </c>
      <c r="H493" s="8">
        <v>44460.0</v>
      </c>
    </row>
    <row r="494">
      <c r="A494" s="2">
        <v>3.64</v>
      </c>
      <c r="B494" s="2">
        <v>229.3</v>
      </c>
      <c r="C494" s="2">
        <v>813.0</v>
      </c>
      <c r="D494" s="2">
        <v>0.93</v>
      </c>
      <c r="E494" s="2">
        <v>0.97</v>
      </c>
      <c r="F494" s="2">
        <v>50.0</v>
      </c>
      <c r="G494" s="4">
        <v>44460.83148119213</v>
      </c>
      <c r="H494" s="8">
        <v>44460.0</v>
      </c>
    </row>
    <row r="495">
      <c r="A495" s="2">
        <v>3.64</v>
      </c>
      <c r="B495" s="2">
        <v>229.2</v>
      </c>
      <c r="C495" s="2">
        <v>813.1</v>
      </c>
      <c r="D495" s="2">
        <v>0.93</v>
      </c>
      <c r="E495" s="2">
        <v>0.97</v>
      </c>
      <c r="F495" s="2">
        <v>50.0</v>
      </c>
      <c r="G495" s="4">
        <v>44460.831610520836</v>
      </c>
      <c r="H495" s="8">
        <v>44460.0</v>
      </c>
    </row>
    <row r="496">
      <c r="A496" s="2">
        <v>3.64</v>
      </c>
      <c r="B496" s="2">
        <v>229.2</v>
      </c>
      <c r="C496" s="2">
        <v>813.2</v>
      </c>
      <c r="D496" s="2">
        <v>0.93</v>
      </c>
      <c r="E496" s="2">
        <v>0.97</v>
      </c>
      <c r="F496" s="2">
        <v>50.0</v>
      </c>
      <c r="G496" s="4">
        <v>44460.83171521991</v>
      </c>
      <c r="H496" s="8">
        <v>44460.0</v>
      </c>
    </row>
    <row r="497">
      <c r="A497" s="2">
        <v>3.64</v>
      </c>
      <c r="B497" s="2">
        <v>229.2</v>
      </c>
      <c r="C497" s="2">
        <v>813.2</v>
      </c>
      <c r="D497" s="2">
        <v>0.93</v>
      </c>
      <c r="E497" s="2">
        <v>0.97</v>
      </c>
      <c r="F497" s="2">
        <v>50.0</v>
      </c>
      <c r="G497" s="4">
        <v>44460.831828229166</v>
      </c>
      <c r="H497" s="8">
        <v>44460.0</v>
      </c>
    </row>
    <row r="498">
      <c r="A498" s="2">
        <v>3.64</v>
      </c>
      <c r="B498" s="2">
        <v>229.3</v>
      </c>
      <c r="C498" s="2">
        <v>813.3</v>
      </c>
      <c r="D498" s="2">
        <v>0.94</v>
      </c>
      <c r="E498" s="2">
        <v>0.97</v>
      </c>
      <c r="F498" s="2">
        <v>50.0</v>
      </c>
      <c r="G498" s="4">
        <v>44460.83192976852</v>
      </c>
      <c r="H498" s="8">
        <v>44460.0</v>
      </c>
    </row>
    <row r="499">
      <c r="A499" s="2">
        <v>3.64</v>
      </c>
      <c r="B499" s="2">
        <v>229.1</v>
      </c>
      <c r="C499" s="2">
        <v>813.4</v>
      </c>
      <c r="D499" s="2">
        <v>0.94</v>
      </c>
      <c r="E499" s="2">
        <v>0.97</v>
      </c>
      <c r="F499" s="2">
        <v>50.0</v>
      </c>
      <c r="G499" s="4">
        <v>44460.83202927084</v>
      </c>
      <c r="H499" s="8">
        <v>44460.0</v>
      </c>
    </row>
    <row r="500">
      <c r="A500" s="2">
        <v>3.64</v>
      </c>
      <c r="B500" s="2">
        <v>229.1</v>
      </c>
      <c r="C500" s="2">
        <v>813.5</v>
      </c>
      <c r="D500" s="2">
        <v>0.94</v>
      </c>
      <c r="E500" s="2">
        <v>0.97</v>
      </c>
      <c r="F500" s="2">
        <v>50.0</v>
      </c>
      <c r="G500" s="4">
        <v>44460.8321328125</v>
      </c>
      <c r="H500" s="8">
        <v>44460.0</v>
      </c>
    </row>
    <row r="501">
      <c r="A501" s="2">
        <v>3.64</v>
      </c>
      <c r="B501" s="2">
        <v>229.1</v>
      </c>
      <c r="C501" s="2">
        <v>813.5</v>
      </c>
      <c r="D501" s="2">
        <v>0.94</v>
      </c>
      <c r="E501" s="2">
        <v>0.97</v>
      </c>
      <c r="F501" s="2">
        <v>50.0</v>
      </c>
      <c r="G501" s="4">
        <v>44460.83223372685</v>
      </c>
      <c r="H501" s="8">
        <v>44460.0</v>
      </c>
    </row>
    <row r="502">
      <c r="A502" s="2">
        <v>3.64</v>
      </c>
      <c r="B502" s="2">
        <v>229.2</v>
      </c>
      <c r="C502" s="2">
        <v>813.6</v>
      </c>
      <c r="D502" s="2">
        <v>0.94</v>
      </c>
      <c r="E502" s="2">
        <v>0.97</v>
      </c>
      <c r="F502" s="2">
        <v>50.0</v>
      </c>
      <c r="G502" s="4">
        <v>44460.83233671296</v>
      </c>
      <c r="H502" s="8">
        <v>44460.0</v>
      </c>
    </row>
    <row r="503">
      <c r="A503" s="2">
        <v>3.64</v>
      </c>
      <c r="B503" s="2">
        <v>229.2</v>
      </c>
      <c r="C503" s="2">
        <v>813.6</v>
      </c>
      <c r="D503" s="2">
        <v>0.94</v>
      </c>
      <c r="E503" s="2">
        <v>0.97</v>
      </c>
      <c r="F503" s="2">
        <v>50.0</v>
      </c>
      <c r="G503" s="4">
        <v>44460.83243278935</v>
      </c>
      <c r="H503" s="8">
        <v>44460.0</v>
      </c>
    </row>
    <row r="504">
      <c r="A504" s="2">
        <v>3.64</v>
      </c>
      <c r="B504" s="2">
        <v>229.2</v>
      </c>
      <c r="C504" s="2">
        <v>813.7</v>
      </c>
      <c r="D504" s="2">
        <v>0.95</v>
      </c>
      <c r="E504" s="2">
        <v>0.97</v>
      </c>
      <c r="F504" s="2">
        <v>50.0</v>
      </c>
      <c r="G504" s="4">
        <v>44460.83253372685</v>
      </c>
      <c r="H504" s="8">
        <v>44460.0</v>
      </c>
    </row>
    <row r="505">
      <c r="A505" s="2">
        <v>3.64</v>
      </c>
      <c r="B505" s="2">
        <v>229.2</v>
      </c>
      <c r="C505" s="2">
        <v>813.8</v>
      </c>
      <c r="D505" s="2">
        <v>0.95</v>
      </c>
      <c r="E505" s="2">
        <v>0.97</v>
      </c>
      <c r="F505" s="2">
        <v>50.0</v>
      </c>
      <c r="G505" s="4">
        <v>44460.832637824074</v>
      </c>
      <c r="H505" s="8">
        <v>44460.0</v>
      </c>
    </row>
    <row r="506">
      <c r="A506" s="2">
        <v>3.64</v>
      </c>
      <c r="B506" s="2">
        <v>229.2</v>
      </c>
      <c r="C506" s="2">
        <v>813.8</v>
      </c>
      <c r="D506" s="2">
        <v>0.95</v>
      </c>
      <c r="E506" s="2">
        <v>0.97</v>
      </c>
      <c r="F506" s="2">
        <v>50.0</v>
      </c>
      <c r="G506" s="4">
        <v>44460.83274240741</v>
      </c>
      <c r="H506" s="8">
        <v>44460.0</v>
      </c>
    </row>
    <row r="507">
      <c r="A507" s="2">
        <v>3.64</v>
      </c>
      <c r="B507" s="2">
        <v>229.3</v>
      </c>
      <c r="C507" s="2">
        <v>813.9</v>
      </c>
      <c r="D507" s="2">
        <v>0.95</v>
      </c>
      <c r="E507" s="2">
        <v>0.97</v>
      </c>
      <c r="F507" s="2">
        <v>50.0</v>
      </c>
      <c r="G507" s="4">
        <v>44460.832850879626</v>
      </c>
      <c r="H507" s="8">
        <v>44460.0</v>
      </c>
    </row>
    <row r="508">
      <c r="A508" s="2">
        <v>3.64</v>
      </c>
      <c r="B508" s="2">
        <v>229.3</v>
      </c>
      <c r="C508" s="2">
        <v>813.9</v>
      </c>
      <c r="D508" s="2">
        <v>0.95</v>
      </c>
      <c r="E508" s="2">
        <v>0.97</v>
      </c>
      <c r="F508" s="2">
        <v>50.0</v>
      </c>
      <c r="G508" s="4">
        <v>44460.832954363425</v>
      </c>
      <c r="H508" s="8">
        <v>44460.0</v>
      </c>
    </row>
    <row r="509">
      <c r="A509" s="2">
        <v>3.64</v>
      </c>
      <c r="B509" s="2">
        <v>229.2</v>
      </c>
      <c r="C509" s="2">
        <v>814.0</v>
      </c>
      <c r="D509" s="2">
        <v>0.96</v>
      </c>
      <c r="E509" s="2">
        <v>0.97</v>
      </c>
      <c r="F509" s="2">
        <v>50.0</v>
      </c>
      <c r="G509" s="4">
        <v>44460.83305930556</v>
      </c>
      <c r="H509" s="8">
        <v>44460.0</v>
      </c>
    </row>
    <row r="510">
      <c r="A510" s="2">
        <v>3.64</v>
      </c>
      <c r="B510" s="2">
        <v>229.2</v>
      </c>
      <c r="C510" s="2">
        <v>814.0</v>
      </c>
      <c r="D510" s="2">
        <v>0.96</v>
      </c>
      <c r="E510" s="2">
        <v>0.97</v>
      </c>
      <c r="F510" s="2">
        <v>50.0</v>
      </c>
      <c r="G510" s="4">
        <v>44460.833162615745</v>
      </c>
      <c r="H510" s="8">
        <v>44460.0</v>
      </c>
    </row>
    <row r="511">
      <c r="A511" s="2">
        <v>3.65</v>
      </c>
      <c r="B511" s="2">
        <v>229.0</v>
      </c>
      <c r="C511" s="2">
        <v>814.2</v>
      </c>
      <c r="D511" s="2">
        <v>0.96</v>
      </c>
      <c r="E511" s="2">
        <v>0.97</v>
      </c>
      <c r="F511" s="2">
        <v>50.0</v>
      </c>
      <c r="G511" s="4">
        <v>44460.833267106485</v>
      </c>
      <c r="H511" s="8">
        <v>44460.0</v>
      </c>
    </row>
    <row r="512">
      <c r="A512" s="2">
        <v>3.64</v>
      </c>
      <c r="B512" s="2">
        <v>229.2</v>
      </c>
      <c r="C512" s="2">
        <v>814.2</v>
      </c>
      <c r="D512" s="2">
        <v>0.96</v>
      </c>
      <c r="E512" s="2">
        <v>0.97</v>
      </c>
      <c r="F512" s="2">
        <v>50.0</v>
      </c>
      <c r="G512" s="4">
        <v>44460.83336729166</v>
      </c>
      <c r="H512" s="8">
        <v>44460.0</v>
      </c>
    </row>
    <row r="513">
      <c r="A513" s="2">
        <v>3.64</v>
      </c>
      <c r="B513" s="2">
        <v>229.3</v>
      </c>
      <c r="C513" s="2">
        <v>814.3</v>
      </c>
      <c r="D513" s="2">
        <v>0.96</v>
      </c>
      <c r="E513" s="2">
        <v>0.97</v>
      </c>
      <c r="F513" s="2">
        <v>50.0</v>
      </c>
      <c r="G513" s="4">
        <v>44460.8334621875</v>
      </c>
      <c r="H513" s="8">
        <v>44460.0</v>
      </c>
    </row>
    <row r="514">
      <c r="A514" s="2">
        <v>3.64</v>
      </c>
      <c r="B514" s="2">
        <v>229.3</v>
      </c>
      <c r="C514" s="2">
        <v>814.3</v>
      </c>
      <c r="D514" s="2">
        <v>0.97</v>
      </c>
      <c r="E514" s="2">
        <v>0.97</v>
      </c>
      <c r="F514" s="2">
        <v>50.0</v>
      </c>
      <c r="G514" s="4">
        <v>44460.83356472223</v>
      </c>
      <c r="H514" s="8">
        <v>44460.0</v>
      </c>
    </row>
    <row r="515">
      <c r="A515" s="2">
        <v>3.64</v>
      </c>
      <c r="B515" s="2">
        <v>229.4</v>
      </c>
      <c r="C515" s="2">
        <v>814.3</v>
      </c>
      <c r="D515" s="2">
        <v>0.97</v>
      </c>
      <c r="E515" s="2">
        <v>0.97</v>
      </c>
      <c r="F515" s="2">
        <v>50.0</v>
      </c>
      <c r="G515" s="4">
        <v>44460.833666886574</v>
      </c>
      <c r="H515" s="8">
        <v>44460.0</v>
      </c>
    </row>
    <row r="516">
      <c r="A516" s="2">
        <v>3.64</v>
      </c>
      <c r="B516" s="2">
        <v>229.4</v>
      </c>
      <c r="C516" s="2">
        <v>814.4</v>
      </c>
      <c r="D516" s="2">
        <v>0.97</v>
      </c>
      <c r="E516" s="2">
        <v>0.97</v>
      </c>
      <c r="F516" s="2">
        <v>50.0</v>
      </c>
      <c r="G516" s="4">
        <v>44460.83376741898</v>
      </c>
      <c r="H516" s="8">
        <v>44460.0</v>
      </c>
    </row>
    <row r="517">
      <c r="A517" s="2">
        <v>3.64</v>
      </c>
      <c r="B517" s="2">
        <v>229.4</v>
      </c>
      <c r="C517" s="2">
        <v>814.5</v>
      </c>
      <c r="D517" s="2">
        <v>0.97</v>
      </c>
      <c r="E517" s="2">
        <v>0.97</v>
      </c>
      <c r="F517" s="2">
        <v>50.0</v>
      </c>
      <c r="G517" s="4">
        <v>44460.83387103009</v>
      </c>
      <c r="H517" s="8">
        <v>44460.0</v>
      </c>
    </row>
    <row r="518">
      <c r="A518" s="2">
        <v>3.64</v>
      </c>
      <c r="B518" s="2">
        <v>229.4</v>
      </c>
      <c r="C518" s="2">
        <v>814.5</v>
      </c>
      <c r="D518" s="2">
        <v>0.98</v>
      </c>
      <c r="E518" s="2">
        <v>0.97</v>
      </c>
      <c r="F518" s="2">
        <v>50.0</v>
      </c>
      <c r="G518" s="4">
        <v>44460.83397015046</v>
      </c>
      <c r="H518" s="8">
        <v>44460.0</v>
      </c>
    </row>
    <row r="519">
      <c r="A519" s="2">
        <v>3.64</v>
      </c>
      <c r="B519" s="2">
        <v>229.5</v>
      </c>
      <c r="C519" s="2">
        <v>814.7</v>
      </c>
      <c r="D519" s="2">
        <v>0.98</v>
      </c>
      <c r="E519" s="2">
        <v>0.97</v>
      </c>
      <c r="F519" s="2">
        <v>50.0</v>
      </c>
      <c r="G519" s="4">
        <v>44460.83406621528</v>
      </c>
      <c r="H519" s="8">
        <v>44460.0</v>
      </c>
    </row>
    <row r="520">
      <c r="A520" s="2">
        <v>3.64</v>
      </c>
      <c r="B520" s="2">
        <v>229.5</v>
      </c>
      <c r="C520" s="2">
        <v>814.7</v>
      </c>
      <c r="D520" s="2">
        <v>0.98</v>
      </c>
      <c r="E520" s="2">
        <v>0.97</v>
      </c>
      <c r="F520" s="2">
        <v>50.0</v>
      </c>
      <c r="G520" s="4">
        <v>44460.834163113424</v>
      </c>
      <c r="H520" s="8">
        <v>44460.0</v>
      </c>
    </row>
    <row r="521">
      <c r="A521" s="2">
        <v>3.64</v>
      </c>
      <c r="B521" s="2">
        <v>229.6</v>
      </c>
      <c r="C521" s="2">
        <v>814.8</v>
      </c>
      <c r="D521" s="2">
        <v>0.98</v>
      </c>
      <c r="E521" s="2">
        <v>0.97</v>
      </c>
      <c r="F521" s="2">
        <v>50.0</v>
      </c>
      <c r="G521" s="4">
        <v>44460.83425930556</v>
      </c>
      <c r="H521" s="8">
        <v>44460.0</v>
      </c>
    </row>
    <row r="522">
      <c r="A522" s="2">
        <v>3.64</v>
      </c>
      <c r="B522" s="2">
        <v>229.6</v>
      </c>
      <c r="C522" s="2">
        <v>814.9</v>
      </c>
      <c r="D522" s="2">
        <v>0.98</v>
      </c>
      <c r="E522" s="2">
        <v>0.97</v>
      </c>
      <c r="F522" s="2">
        <v>50.0</v>
      </c>
      <c r="G522" s="4">
        <v>44460.83435559028</v>
      </c>
      <c r="H522" s="8">
        <v>44460.0</v>
      </c>
    </row>
    <row r="523">
      <c r="A523" s="2">
        <v>3.64</v>
      </c>
      <c r="B523" s="2">
        <v>229.5</v>
      </c>
      <c r="C523" s="2">
        <v>814.9</v>
      </c>
      <c r="D523" s="2">
        <v>0.98</v>
      </c>
      <c r="E523" s="2">
        <v>0.97</v>
      </c>
      <c r="F523" s="2">
        <v>50.0</v>
      </c>
      <c r="G523" s="4">
        <v>44460.834452118055</v>
      </c>
      <c r="H523" s="8">
        <v>44460.0</v>
      </c>
    </row>
    <row r="524">
      <c r="A524" s="2">
        <v>3.64</v>
      </c>
      <c r="B524" s="2">
        <v>229.5</v>
      </c>
      <c r="C524" s="2">
        <v>815.0</v>
      </c>
      <c r="D524" s="2">
        <v>0.99</v>
      </c>
      <c r="E524" s="2">
        <v>0.97</v>
      </c>
      <c r="F524" s="2">
        <v>50.0</v>
      </c>
      <c r="G524" s="4">
        <v>44460.83455231482</v>
      </c>
      <c r="H524" s="8">
        <v>44460.0</v>
      </c>
    </row>
    <row r="525">
      <c r="A525" s="2">
        <v>3.64</v>
      </c>
      <c r="B525" s="2">
        <v>229.4</v>
      </c>
      <c r="C525" s="2">
        <v>815.0</v>
      </c>
      <c r="D525" s="2">
        <v>0.99</v>
      </c>
      <c r="E525" s="2">
        <v>0.97</v>
      </c>
      <c r="F525" s="2">
        <v>50.0</v>
      </c>
      <c r="G525" s="4">
        <v>44460.8346828588</v>
      </c>
      <c r="H525" s="8">
        <v>44460.0</v>
      </c>
    </row>
    <row r="526">
      <c r="A526" s="2">
        <v>3.65</v>
      </c>
      <c r="B526" s="2">
        <v>229.3</v>
      </c>
      <c r="C526" s="2">
        <v>815.1</v>
      </c>
      <c r="D526" s="2">
        <v>0.99</v>
      </c>
      <c r="E526" s="2">
        <v>0.97</v>
      </c>
      <c r="F526" s="2">
        <v>49.9</v>
      </c>
      <c r="G526" s="4">
        <v>44460.834785115745</v>
      </c>
      <c r="H526" s="8">
        <v>44460.0</v>
      </c>
    </row>
    <row r="527">
      <c r="A527" s="2">
        <v>3.65</v>
      </c>
      <c r="B527" s="2">
        <v>229.4</v>
      </c>
      <c r="C527" s="2">
        <v>815.2</v>
      </c>
      <c r="D527" s="2">
        <v>0.99</v>
      </c>
      <c r="E527" s="2">
        <v>0.97</v>
      </c>
      <c r="F527" s="2">
        <v>50.0</v>
      </c>
      <c r="G527" s="4">
        <v>44460.834881469906</v>
      </c>
      <c r="H527" s="8">
        <v>44460.0</v>
      </c>
    </row>
    <row r="528">
      <c r="A528" s="2">
        <v>3.65</v>
      </c>
      <c r="B528" s="2">
        <v>229.4</v>
      </c>
      <c r="C528" s="2">
        <v>815.2</v>
      </c>
      <c r="D528" s="2">
        <v>1.0</v>
      </c>
      <c r="E528" s="2">
        <v>0.97</v>
      </c>
      <c r="F528" s="2">
        <v>50.0</v>
      </c>
      <c r="G528" s="4">
        <v>44460.83498271991</v>
      </c>
      <c r="H528" s="8">
        <v>44460.0</v>
      </c>
    </row>
    <row r="529">
      <c r="A529" s="2">
        <v>3.64</v>
      </c>
      <c r="B529" s="2">
        <v>229.5</v>
      </c>
      <c r="C529" s="2">
        <v>815.3</v>
      </c>
      <c r="D529" s="2">
        <v>1.0</v>
      </c>
      <c r="E529" s="2">
        <v>0.97</v>
      </c>
      <c r="F529" s="2">
        <v>50.0</v>
      </c>
      <c r="G529" s="4">
        <v>44460.835098090276</v>
      </c>
      <c r="H529" s="8">
        <v>44460.0</v>
      </c>
    </row>
    <row r="530">
      <c r="A530" s="2">
        <v>3.64</v>
      </c>
      <c r="B530" s="2">
        <v>229.5</v>
      </c>
      <c r="C530" s="2">
        <v>815.4</v>
      </c>
      <c r="D530" s="2">
        <v>1.0</v>
      </c>
      <c r="E530" s="2">
        <v>0.97</v>
      </c>
      <c r="F530" s="2">
        <v>50.0</v>
      </c>
      <c r="G530" s="4">
        <v>44460.83520354167</v>
      </c>
      <c r="H530" s="8">
        <v>44460.0</v>
      </c>
    </row>
    <row r="531">
      <c r="A531" s="2">
        <v>3.65</v>
      </c>
      <c r="B531" s="2">
        <v>229.5</v>
      </c>
      <c r="C531" s="2">
        <v>815.4</v>
      </c>
      <c r="D531" s="2">
        <v>1.0</v>
      </c>
      <c r="E531" s="2">
        <v>0.97</v>
      </c>
      <c r="F531" s="2">
        <v>50.0</v>
      </c>
      <c r="G531" s="4">
        <v>44460.83530600695</v>
      </c>
      <c r="H531" s="8">
        <v>44460.0</v>
      </c>
    </row>
    <row r="532">
      <c r="A532" s="2">
        <v>3.65</v>
      </c>
      <c r="B532" s="2">
        <v>229.5</v>
      </c>
      <c r="C532" s="2">
        <v>815.6</v>
      </c>
      <c r="D532" s="2">
        <v>1.0</v>
      </c>
      <c r="E532" s="2">
        <v>0.97</v>
      </c>
      <c r="F532" s="2">
        <v>50.0</v>
      </c>
      <c r="G532" s="4">
        <v>44460.83541020833</v>
      </c>
      <c r="H532" s="8">
        <v>44460.0</v>
      </c>
    </row>
    <row r="533">
      <c r="A533" s="2">
        <v>3.65</v>
      </c>
      <c r="B533" s="2">
        <v>229.4</v>
      </c>
      <c r="C533" s="2">
        <v>815.6</v>
      </c>
      <c r="D533" s="2">
        <v>1.0</v>
      </c>
      <c r="E533" s="2">
        <v>0.97</v>
      </c>
      <c r="F533" s="2">
        <v>50.0</v>
      </c>
      <c r="G533" s="4">
        <v>44460.835507592594</v>
      </c>
      <c r="H533" s="8">
        <v>44460.0</v>
      </c>
    </row>
    <row r="534">
      <c r="A534" s="2">
        <v>3.64</v>
      </c>
      <c r="B534" s="2">
        <v>229.7</v>
      </c>
      <c r="C534" s="2">
        <v>815.7</v>
      </c>
      <c r="D534" s="2">
        <v>1.01</v>
      </c>
      <c r="E534" s="2">
        <v>0.97</v>
      </c>
      <c r="F534" s="2">
        <v>50.0</v>
      </c>
      <c r="G534" s="4">
        <v>44460.83560766204</v>
      </c>
      <c r="H534" s="8">
        <v>44460.0</v>
      </c>
    </row>
    <row r="535">
      <c r="A535" s="2">
        <v>3.64</v>
      </c>
      <c r="B535" s="2">
        <v>229.7</v>
      </c>
      <c r="C535" s="2">
        <v>815.8</v>
      </c>
      <c r="D535" s="2">
        <v>1.01</v>
      </c>
      <c r="E535" s="2">
        <v>0.97</v>
      </c>
      <c r="F535" s="2">
        <v>50.0</v>
      </c>
      <c r="G535" s="4">
        <v>44460.83570981481</v>
      </c>
      <c r="H535" s="8">
        <v>44460.0</v>
      </c>
    </row>
    <row r="536">
      <c r="A536" s="2">
        <v>3.64</v>
      </c>
      <c r="B536" s="2">
        <v>229.7</v>
      </c>
      <c r="C536" s="2">
        <v>815.9</v>
      </c>
      <c r="D536" s="2">
        <v>1.01</v>
      </c>
      <c r="E536" s="2">
        <v>0.98</v>
      </c>
      <c r="F536" s="2">
        <v>50.0</v>
      </c>
      <c r="G536" s="4">
        <v>44460.83580746528</v>
      </c>
      <c r="H536" s="8">
        <v>44460.0</v>
      </c>
    </row>
    <row r="537">
      <c r="A537" s="2">
        <v>3.64</v>
      </c>
      <c r="B537" s="2">
        <v>229.7</v>
      </c>
      <c r="C537" s="2">
        <v>815.9</v>
      </c>
      <c r="D537" s="2">
        <v>1.01</v>
      </c>
      <c r="E537" s="2">
        <v>0.97</v>
      </c>
      <c r="F537" s="2">
        <v>50.0</v>
      </c>
      <c r="G537" s="4">
        <v>44460.83590928241</v>
      </c>
      <c r="H537" s="8">
        <v>44460.0</v>
      </c>
    </row>
    <row r="538">
      <c r="A538" s="2">
        <v>3.65</v>
      </c>
      <c r="B538" s="2">
        <v>229.6</v>
      </c>
      <c r="C538" s="2">
        <v>815.9</v>
      </c>
      <c r="D538" s="2">
        <v>1.01</v>
      </c>
      <c r="E538" s="2">
        <v>0.97</v>
      </c>
      <c r="F538" s="2">
        <v>50.0</v>
      </c>
      <c r="G538" s="4">
        <v>44460.836015023146</v>
      </c>
      <c r="H538" s="8">
        <v>44460.0</v>
      </c>
    </row>
    <row r="539">
      <c r="A539" s="2">
        <v>3.64</v>
      </c>
      <c r="B539" s="2">
        <v>229.7</v>
      </c>
      <c r="C539" s="2">
        <v>816.0</v>
      </c>
      <c r="D539" s="2">
        <v>1.02</v>
      </c>
      <c r="E539" s="2">
        <v>0.97</v>
      </c>
      <c r="F539" s="2">
        <v>50.0</v>
      </c>
      <c r="G539" s="4">
        <v>44460.83611872685</v>
      </c>
      <c r="H539" s="8">
        <v>44460.0</v>
      </c>
    </row>
    <row r="540">
      <c r="A540" s="2">
        <v>3.65</v>
      </c>
      <c r="B540" s="2">
        <v>229.7</v>
      </c>
      <c r="C540" s="2">
        <v>816.1</v>
      </c>
      <c r="D540" s="2">
        <v>1.02</v>
      </c>
      <c r="E540" s="2">
        <v>0.97</v>
      </c>
      <c r="F540" s="2">
        <v>50.0</v>
      </c>
      <c r="G540" s="4">
        <v>44460.83621814815</v>
      </c>
      <c r="H540" s="8">
        <v>44460.0</v>
      </c>
    </row>
    <row r="541">
      <c r="A541" s="2">
        <v>3.65</v>
      </c>
      <c r="B541" s="2">
        <v>229.6</v>
      </c>
      <c r="C541" s="2">
        <v>816.2</v>
      </c>
      <c r="D541" s="2">
        <v>1.02</v>
      </c>
      <c r="E541" s="2">
        <v>0.97</v>
      </c>
      <c r="F541" s="2">
        <v>50.0</v>
      </c>
      <c r="G541" s="4">
        <v>44460.83631585648</v>
      </c>
      <c r="H541" s="8">
        <v>44460.0</v>
      </c>
    </row>
    <row r="542">
      <c r="A542" s="2">
        <v>3.65</v>
      </c>
      <c r="B542" s="2">
        <v>229.5</v>
      </c>
      <c r="C542" s="2">
        <v>816.3</v>
      </c>
      <c r="D542" s="2">
        <v>1.02</v>
      </c>
      <c r="E542" s="2">
        <v>0.97</v>
      </c>
      <c r="F542" s="2">
        <v>50.0</v>
      </c>
      <c r="G542" s="4">
        <v>44460.836414363424</v>
      </c>
      <c r="H542" s="8">
        <v>44460.0</v>
      </c>
    </row>
    <row r="543">
      <c r="A543" s="2">
        <v>3.65</v>
      </c>
      <c r="B543" s="2">
        <v>229.5</v>
      </c>
      <c r="C543" s="2">
        <v>816.4</v>
      </c>
      <c r="D543" s="2">
        <v>1.02</v>
      </c>
      <c r="E543" s="2">
        <v>0.97</v>
      </c>
      <c r="F543" s="2">
        <v>50.0</v>
      </c>
      <c r="G543" s="4">
        <v>44460.83651462963</v>
      </c>
      <c r="H543" s="8">
        <v>44460.0</v>
      </c>
    </row>
    <row r="544">
      <c r="A544" s="2">
        <v>3.65</v>
      </c>
      <c r="B544" s="2">
        <v>229.5</v>
      </c>
      <c r="C544" s="2">
        <v>816.3</v>
      </c>
      <c r="D544" s="2">
        <v>1.03</v>
      </c>
      <c r="E544" s="2">
        <v>0.97</v>
      </c>
      <c r="F544" s="2">
        <v>50.0</v>
      </c>
      <c r="G544" s="4">
        <v>44460.836620462964</v>
      </c>
      <c r="H544" s="8">
        <v>44460.0</v>
      </c>
    </row>
    <row r="545">
      <c r="A545" s="2">
        <v>3.65</v>
      </c>
      <c r="B545" s="2">
        <v>229.5</v>
      </c>
      <c r="C545" s="2">
        <v>816.5</v>
      </c>
      <c r="D545" s="2">
        <v>1.03</v>
      </c>
      <c r="E545" s="2">
        <v>0.97</v>
      </c>
      <c r="F545" s="2">
        <v>49.9</v>
      </c>
      <c r="G545" s="4">
        <v>44460.83672587963</v>
      </c>
      <c r="H545" s="8">
        <v>44460.0</v>
      </c>
    </row>
    <row r="546">
      <c r="A546" s="2">
        <v>3.65</v>
      </c>
      <c r="B546" s="2">
        <v>229.7</v>
      </c>
      <c r="C546" s="2">
        <v>816.5</v>
      </c>
      <c r="D546" s="2">
        <v>1.03</v>
      </c>
      <c r="E546" s="2">
        <v>0.97</v>
      </c>
      <c r="F546" s="2">
        <v>50.0</v>
      </c>
      <c r="G546" s="4">
        <v>44460.83686043981</v>
      </c>
      <c r="H546" s="8">
        <v>44460.0</v>
      </c>
    </row>
    <row r="547">
      <c r="A547" s="2">
        <v>3.65</v>
      </c>
      <c r="B547" s="2">
        <v>229.5</v>
      </c>
      <c r="C547" s="2">
        <v>816.6</v>
      </c>
      <c r="D547" s="2">
        <v>1.03</v>
      </c>
      <c r="E547" s="2">
        <v>0.97</v>
      </c>
      <c r="F547" s="2">
        <v>50.0</v>
      </c>
      <c r="G547" s="4">
        <v>44460.836961249996</v>
      </c>
      <c r="H547" s="8">
        <v>44460.0</v>
      </c>
    </row>
    <row r="548">
      <c r="A548" s="2">
        <v>3.65</v>
      </c>
      <c r="B548" s="2">
        <v>229.4</v>
      </c>
      <c r="C548" s="2">
        <v>816.7</v>
      </c>
      <c r="D548" s="2">
        <v>1.04</v>
      </c>
      <c r="E548" s="2">
        <v>0.97</v>
      </c>
      <c r="F548" s="2">
        <v>49.9</v>
      </c>
      <c r="G548" s="4">
        <v>44460.83706657407</v>
      </c>
      <c r="H548" s="8">
        <v>44460.0</v>
      </c>
    </row>
    <row r="549">
      <c r="A549" s="2">
        <v>3.65</v>
      </c>
      <c r="B549" s="2">
        <v>229.4</v>
      </c>
      <c r="C549" s="2">
        <v>816.8</v>
      </c>
      <c r="D549" s="2">
        <v>1.04</v>
      </c>
      <c r="E549" s="2">
        <v>0.97</v>
      </c>
      <c r="F549" s="2">
        <v>49.9</v>
      </c>
      <c r="G549" s="4">
        <v>44460.83717716435</v>
      </c>
      <c r="H549" s="8">
        <v>44460.0</v>
      </c>
    </row>
    <row r="550">
      <c r="A550" s="2">
        <v>3.65</v>
      </c>
      <c r="B550" s="2">
        <v>229.3</v>
      </c>
      <c r="C550" s="2">
        <v>816.9</v>
      </c>
      <c r="D550" s="2">
        <v>1.04</v>
      </c>
      <c r="E550" s="2">
        <v>0.97</v>
      </c>
      <c r="F550" s="2">
        <v>49.9</v>
      </c>
      <c r="G550" s="4">
        <v>44460.83728357639</v>
      </c>
      <c r="H550" s="8">
        <v>44460.0</v>
      </c>
    </row>
    <row r="551">
      <c r="A551" s="2">
        <v>3.65</v>
      </c>
      <c r="B551" s="2">
        <v>229.5</v>
      </c>
      <c r="C551" s="2">
        <v>816.9</v>
      </c>
      <c r="D551" s="2">
        <v>1.04</v>
      </c>
      <c r="E551" s="2">
        <v>0.97</v>
      </c>
      <c r="F551" s="2">
        <v>50.0</v>
      </c>
      <c r="G551" s="4">
        <v>44460.83738523148</v>
      </c>
      <c r="H551" s="8">
        <v>44460.0</v>
      </c>
    </row>
    <row r="552">
      <c r="A552" s="2">
        <v>3.65</v>
      </c>
      <c r="B552" s="2">
        <v>229.6</v>
      </c>
      <c r="C552" s="2">
        <v>817.0</v>
      </c>
      <c r="D552" s="2">
        <v>1.04</v>
      </c>
      <c r="E552" s="2">
        <v>0.97</v>
      </c>
      <c r="F552" s="2">
        <v>49.9</v>
      </c>
      <c r="G552" s="4">
        <v>44460.83748527778</v>
      </c>
      <c r="H552" s="8">
        <v>44460.0</v>
      </c>
    </row>
    <row r="553">
      <c r="A553" s="2">
        <v>3.65</v>
      </c>
      <c r="B553" s="2">
        <v>229.5</v>
      </c>
      <c r="C553" s="2">
        <v>817.1</v>
      </c>
      <c r="D553" s="2">
        <v>1.05</v>
      </c>
      <c r="E553" s="2">
        <v>0.97</v>
      </c>
      <c r="F553" s="2">
        <v>49.9</v>
      </c>
      <c r="G553" s="4">
        <v>44460.8375887963</v>
      </c>
      <c r="H553" s="8">
        <v>44460.0</v>
      </c>
    </row>
    <row r="554">
      <c r="A554" s="2">
        <v>3.65</v>
      </c>
      <c r="B554" s="2">
        <v>229.7</v>
      </c>
      <c r="C554" s="2">
        <v>817.2</v>
      </c>
      <c r="D554" s="2">
        <v>1.05</v>
      </c>
      <c r="E554" s="2">
        <v>0.97</v>
      </c>
      <c r="F554" s="2">
        <v>50.0</v>
      </c>
      <c r="G554" s="4">
        <v>44460.83769381944</v>
      </c>
      <c r="H554" s="8">
        <v>44460.0</v>
      </c>
    </row>
    <row r="555">
      <c r="A555" s="2">
        <v>3.65</v>
      </c>
      <c r="B555" s="2">
        <v>229.8</v>
      </c>
      <c r="C555" s="2">
        <v>817.3</v>
      </c>
      <c r="D555" s="2">
        <v>1.05</v>
      </c>
      <c r="E555" s="2">
        <v>0.97</v>
      </c>
      <c r="F555" s="2">
        <v>50.0</v>
      </c>
      <c r="G555" s="4">
        <v>44460.83779734954</v>
      </c>
      <c r="H555" s="8">
        <v>44460.0</v>
      </c>
    </row>
    <row r="556">
      <c r="A556" s="2">
        <v>3.65</v>
      </c>
      <c r="B556" s="2">
        <v>229.7</v>
      </c>
      <c r="C556" s="2">
        <v>817.4</v>
      </c>
      <c r="D556" s="2">
        <v>1.05</v>
      </c>
      <c r="E556" s="2">
        <v>0.97</v>
      </c>
      <c r="F556" s="2">
        <v>50.0</v>
      </c>
      <c r="G556" s="4">
        <v>44460.83789603009</v>
      </c>
      <c r="H556" s="8">
        <v>44460.0</v>
      </c>
    </row>
    <row r="557">
      <c r="A557" s="2">
        <v>3.65</v>
      </c>
      <c r="B557" s="2">
        <v>229.7</v>
      </c>
      <c r="C557" s="2">
        <v>817.4</v>
      </c>
      <c r="D557" s="2">
        <v>1.05</v>
      </c>
      <c r="E557" s="2">
        <v>0.97</v>
      </c>
      <c r="F557" s="2">
        <v>50.0</v>
      </c>
      <c r="G557" s="4">
        <v>44460.83799594907</v>
      </c>
      <c r="H557" s="8">
        <v>44460.0</v>
      </c>
    </row>
    <row r="558">
      <c r="A558" s="2">
        <v>3.65</v>
      </c>
      <c r="B558" s="2">
        <v>229.6</v>
      </c>
      <c r="C558" s="2">
        <v>817.5</v>
      </c>
      <c r="D558" s="2">
        <v>1.06</v>
      </c>
      <c r="E558" s="2">
        <v>0.97</v>
      </c>
      <c r="F558" s="2">
        <v>50.0</v>
      </c>
      <c r="G558" s="4">
        <v>44460.83809405092</v>
      </c>
      <c r="H558" s="8">
        <v>44460.0</v>
      </c>
    </row>
    <row r="559">
      <c r="A559" s="2">
        <v>3.65</v>
      </c>
      <c r="B559" s="2">
        <v>229.6</v>
      </c>
      <c r="C559" s="2">
        <v>817.6</v>
      </c>
      <c r="D559" s="2">
        <v>1.06</v>
      </c>
      <c r="E559" s="2">
        <v>0.97</v>
      </c>
      <c r="F559" s="2">
        <v>50.0</v>
      </c>
      <c r="G559" s="4">
        <v>44460.83820291667</v>
      </c>
      <c r="H559" s="8">
        <v>44460.0</v>
      </c>
    </row>
    <row r="560">
      <c r="A560" s="2">
        <v>3.65</v>
      </c>
      <c r="B560" s="2">
        <v>229.7</v>
      </c>
      <c r="C560" s="2">
        <v>817.7</v>
      </c>
      <c r="D560" s="2">
        <v>1.06</v>
      </c>
      <c r="E560" s="2">
        <v>0.97</v>
      </c>
      <c r="F560" s="2">
        <v>50.0</v>
      </c>
      <c r="G560" s="4">
        <v>44460.83830570602</v>
      </c>
      <c r="H560" s="8">
        <v>44460.0</v>
      </c>
    </row>
    <row r="561">
      <c r="A561" s="2">
        <v>3.65</v>
      </c>
      <c r="B561" s="2">
        <v>229.7</v>
      </c>
      <c r="C561" s="2">
        <v>817.7</v>
      </c>
      <c r="D561" s="2">
        <v>1.06</v>
      </c>
      <c r="E561" s="2">
        <v>0.97</v>
      </c>
      <c r="F561" s="2">
        <v>50.0</v>
      </c>
      <c r="G561" s="4">
        <v>44460.83840284722</v>
      </c>
      <c r="H561" s="8">
        <v>44460.0</v>
      </c>
    </row>
    <row r="562">
      <c r="A562" s="2">
        <v>3.65</v>
      </c>
      <c r="B562" s="2">
        <v>229.6</v>
      </c>
      <c r="C562" s="2">
        <v>817.8</v>
      </c>
      <c r="D562" s="2">
        <v>1.06</v>
      </c>
      <c r="E562" s="2">
        <v>0.97</v>
      </c>
      <c r="F562" s="2">
        <v>50.0</v>
      </c>
      <c r="G562" s="4">
        <v>44460.838501377315</v>
      </c>
      <c r="H562" s="8">
        <v>44460.0</v>
      </c>
    </row>
    <row r="563">
      <c r="A563" s="2">
        <v>3.66</v>
      </c>
      <c r="B563" s="2">
        <v>229.5</v>
      </c>
      <c r="C563" s="2">
        <v>817.9</v>
      </c>
      <c r="D563" s="2">
        <v>1.07</v>
      </c>
      <c r="E563" s="2">
        <v>0.97</v>
      </c>
      <c r="F563" s="2">
        <v>50.0</v>
      </c>
      <c r="G563" s="4">
        <v>44460.83859806713</v>
      </c>
      <c r="H563" s="8">
        <v>44460.0</v>
      </c>
    </row>
    <row r="564">
      <c r="A564" s="2">
        <v>3.65</v>
      </c>
      <c r="B564" s="2">
        <v>229.7</v>
      </c>
      <c r="C564" s="2">
        <v>817.9</v>
      </c>
      <c r="D564" s="2">
        <v>1.07</v>
      </c>
      <c r="E564" s="2">
        <v>0.97</v>
      </c>
      <c r="F564" s="2">
        <v>49.9</v>
      </c>
      <c r="G564" s="4">
        <v>44460.83869694444</v>
      </c>
      <c r="H564" s="8">
        <v>44460.0</v>
      </c>
    </row>
    <row r="565">
      <c r="A565" s="2">
        <v>3.65</v>
      </c>
      <c r="B565" s="2">
        <v>229.6</v>
      </c>
      <c r="C565" s="2">
        <v>818.0</v>
      </c>
      <c r="D565" s="2">
        <v>1.07</v>
      </c>
      <c r="E565" s="2">
        <v>0.98</v>
      </c>
      <c r="F565" s="2">
        <v>50.0</v>
      </c>
      <c r="G565" s="4">
        <v>44460.838793703704</v>
      </c>
      <c r="H565" s="8">
        <v>44460.0</v>
      </c>
    </row>
    <row r="566">
      <c r="A566" s="2">
        <v>3.66</v>
      </c>
      <c r="B566" s="2">
        <v>229.6</v>
      </c>
      <c r="C566" s="2">
        <v>818.1</v>
      </c>
      <c r="D566" s="2">
        <v>1.07</v>
      </c>
      <c r="E566" s="2">
        <v>0.97</v>
      </c>
      <c r="F566" s="2">
        <v>50.0</v>
      </c>
      <c r="G566" s="4">
        <v>44460.83889266204</v>
      </c>
      <c r="H566" s="8">
        <v>44460.0</v>
      </c>
    </row>
    <row r="567">
      <c r="A567" s="2">
        <v>3.66</v>
      </c>
      <c r="B567" s="2">
        <v>229.6</v>
      </c>
      <c r="C567" s="2">
        <v>818.2</v>
      </c>
      <c r="D567" s="2">
        <v>1.07</v>
      </c>
      <c r="E567" s="2">
        <v>0.97</v>
      </c>
      <c r="F567" s="2">
        <v>49.9</v>
      </c>
      <c r="G567" s="4">
        <v>44460.83899366898</v>
      </c>
      <c r="H567" s="8">
        <v>44460.0</v>
      </c>
    </row>
    <row r="568">
      <c r="A568" s="2">
        <v>3.65</v>
      </c>
      <c r="B568" s="2">
        <v>229.7</v>
      </c>
      <c r="C568" s="2">
        <v>818.3</v>
      </c>
      <c r="D568" s="2">
        <v>1.08</v>
      </c>
      <c r="E568" s="2">
        <v>0.97</v>
      </c>
      <c r="F568" s="2">
        <v>49.9</v>
      </c>
      <c r="G568" s="4">
        <v>44460.839095497686</v>
      </c>
      <c r="H568" s="8">
        <v>44460.0</v>
      </c>
    </row>
    <row r="569">
      <c r="A569" s="2">
        <v>3.65</v>
      </c>
      <c r="B569" s="2">
        <v>229.7</v>
      </c>
      <c r="C569" s="2">
        <v>818.4</v>
      </c>
      <c r="D569" s="2">
        <v>1.08</v>
      </c>
      <c r="E569" s="2">
        <v>0.97</v>
      </c>
      <c r="F569" s="2">
        <v>50.0</v>
      </c>
      <c r="G569" s="4">
        <v>44460.83920190972</v>
      </c>
      <c r="H569" s="8">
        <v>44460.0</v>
      </c>
    </row>
    <row r="570">
      <c r="A570" s="2">
        <v>3.65</v>
      </c>
      <c r="B570" s="2">
        <v>229.8</v>
      </c>
      <c r="C570" s="2">
        <v>818.4</v>
      </c>
      <c r="D570" s="2">
        <v>1.08</v>
      </c>
      <c r="E570" s="2">
        <v>0.97</v>
      </c>
      <c r="F570" s="2">
        <v>50.0</v>
      </c>
      <c r="G570" s="4">
        <v>44460.83930533565</v>
      </c>
      <c r="H570" s="8">
        <v>44460.0</v>
      </c>
    </row>
    <row r="571">
      <c r="A571" s="2">
        <v>3.65</v>
      </c>
      <c r="B571" s="2">
        <v>229.8</v>
      </c>
      <c r="C571" s="2">
        <v>818.5</v>
      </c>
      <c r="D571" s="2">
        <v>1.08</v>
      </c>
      <c r="E571" s="2">
        <v>0.98</v>
      </c>
      <c r="F571" s="2">
        <v>50.0</v>
      </c>
      <c r="G571" s="4">
        <v>44460.83940525463</v>
      </c>
      <c r="H571" s="8">
        <v>44460.0</v>
      </c>
    </row>
    <row r="572">
      <c r="A572" s="2">
        <v>3.65</v>
      </c>
      <c r="B572" s="2">
        <v>230.1</v>
      </c>
      <c r="C572" s="2">
        <v>818.5</v>
      </c>
      <c r="D572" s="2">
        <v>1.08</v>
      </c>
      <c r="E572" s="2">
        <v>0.97</v>
      </c>
      <c r="F572" s="2">
        <v>50.0</v>
      </c>
      <c r="G572" s="4">
        <v>44460.83950809028</v>
      </c>
      <c r="H572" s="8">
        <v>44460.0</v>
      </c>
    </row>
    <row r="573">
      <c r="A573" s="2">
        <v>3.65</v>
      </c>
      <c r="B573" s="2">
        <v>230.1</v>
      </c>
      <c r="C573" s="2">
        <v>818.6</v>
      </c>
      <c r="D573" s="2">
        <v>1.09</v>
      </c>
      <c r="E573" s="2">
        <v>0.97</v>
      </c>
      <c r="F573" s="2">
        <v>50.0</v>
      </c>
      <c r="G573" s="4">
        <v>44460.83960653935</v>
      </c>
      <c r="H573" s="8">
        <v>44460.0</v>
      </c>
    </row>
    <row r="574">
      <c r="A574" s="2">
        <v>3.65</v>
      </c>
      <c r="B574" s="2">
        <v>230.2</v>
      </c>
      <c r="C574" s="2">
        <v>818.7</v>
      </c>
      <c r="D574" s="2">
        <v>1.09</v>
      </c>
      <c r="E574" s="2">
        <v>0.97</v>
      </c>
      <c r="F574" s="2">
        <v>50.0</v>
      </c>
      <c r="G574" s="4">
        <v>44460.839704756945</v>
      </c>
      <c r="H574" s="8">
        <v>44460.0</v>
      </c>
    </row>
    <row r="575">
      <c r="A575" s="2">
        <v>3.65</v>
      </c>
      <c r="B575" s="2">
        <v>230.2</v>
      </c>
      <c r="C575" s="2">
        <v>818.7</v>
      </c>
      <c r="D575" s="2">
        <v>1.09</v>
      </c>
      <c r="E575" s="2">
        <v>0.97</v>
      </c>
      <c r="F575" s="2">
        <v>50.0</v>
      </c>
      <c r="G575" s="4">
        <v>44460.83980666667</v>
      </c>
      <c r="H575" s="8">
        <v>44460.0</v>
      </c>
    </row>
    <row r="576">
      <c r="A576" s="2">
        <v>3.65</v>
      </c>
      <c r="B576" s="2">
        <v>230.2</v>
      </c>
      <c r="C576" s="2">
        <v>818.9</v>
      </c>
      <c r="D576" s="2">
        <v>1.09</v>
      </c>
      <c r="E576" s="2">
        <v>0.97</v>
      </c>
      <c r="F576" s="2">
        <v>50.0</v>
      </c>
      <c r="G576" s="4">
        <v>44460.83991086806</v>
      </c>
      <c r="H576" s="8">
        <v>44460.0</v>
      </c>
    </row>
    <row r="577">
      <c r="A577" s="2">
        <v>3.65</v>
      </c>
      <c r="B577" s="2">
        <v>230.2</v>
      </c>
      <c r="C577" s="2">
        <v>818.9</v>
      </c>
      <c r="D577" s="2">
        <v>1.09</v>
      </c>
      <c r="E577" s="2">
        <v>0.97</v>
      </c>
      <c r="F577" s="2">
        <v>50.0</v>
      </c>
      <c r="G577" s="4">
        <v>44460.84000694445</v>
      </c>
      <c r="H577" s="8">
        <v>44460.0</v>
      </c>
    </row>
    <row r="578">
      <c r="A578" s="2">
        <v>3.65</v>
      </c>
      <c r="B578" s="2">
        <v>230.2</v>
      </c>
      <c r="C578" s="2">
        <v>819.0</v>
      </c>
      <c r="D578" s="2">
        <v>1.1</v>
      </c>
      <c r="E578" s="2">
        <v>0.97</v>
      </c>
      <c r="F578" s="2">
        <v>50.0</v>
      </c>
      <c r="G578" s="4">
        <v>44460.840104965275</v>
      </c>
      <c r="H578" s="8">
        <v>44460.0</v>
      </c>
    </row>
    <row r="579">
      <c r="A579" s="2">
        <v>3.65</v>
      </c>
      <c r="B579" s="2">
        <v>230.2</v>
      </c>
      <c r="C579" s="2">
        <v>819.1</v>
      </c>
      <c r="D579" s="2">
        <v>1.1</v>
      </c>
      <c r="E579" s="2">
        <v>0.97</v>
      </c>
      <c r="F579" s="2">
        <v>50.0</v>
      </c>
      <c r="G579" s="4">
        <v>44460.84020128472</v>
      </c>
      <c r="H579" s="8">
        <v>44460.0</v>
      </c>
    </row>
    <row r="580">
      <c r="A580" s="2">
        <v>3.65</v>
      </c>
      <c r="B580" s="2">
        <v>230.2</v>
      </c>
      <c r="C580" s="2">
        <v>819.2</v>
      </c>
      <c r="D580" s="2">
        <v>1.1</v>
      </c>
      <c r="E580" s="2">
        <v>0.97</v>
      </c>
      <c r="F580" s="2">
        <v>49.9</v>
      </c>
      <c r="G580" s="4">
        <v>44460.84029979167</v>
      </c>
      <c r="H580" s="8">
        <v>44460.0</v>
      </c>
    </row>
    <row r="581">
      <c r="A581" s="2">
        <v>3.66</v>
      </c>
      <c r="B581" s="2">
        <v>229.8</v>
      </c>
      <c r="C581" s="2">
        <v>819.3</v>
      </c>
      <c r="D581" s="2">
        <v>1.1</v>
      </c>
      <c r="E581" s="2">
        <v>0.97</v>
      </c>
      <c r="F581" s="2">
        <v>49.9</v>
      </c>
      <c r="G581" s="4">
        <v>44460.840397708336</v>
      </c>
      <c r="H581" s="8">
        <v>44460.0</v>
      </c>
    </row>
    <row r="582">
      <c r="A582" s="2">
        <v>3.66</v>
      </c>
      <c r="B582" s="2">
        <v>229.6</v>
      </c>
      <c r="C582" s="2">
        <v>819.4</v>
      </c>
      <c r="D582" s="2">
        <v>1.1</v>
      </c>
      <c r="E582" s="2">
        <v>0.98</v>
      </c>
      <c r="F582" s="2">
        <v>49.9</v>
      </c>
      <c r="G582" s="4">
        <v>44460.84049752315</v>
      </c>
      <c r="H582" s="8">
        <v>44460.0</v>
      </c>
    </row>
    <row r="583">
      <c r="A583" s="2">
        <v>3.66</v>
      </c>
      <c r="B583" s="2">
        <v>229.7</v>
      </c>
      <c r="C583" s="2">
        <v>819.5</v>
      </c>
      <c r="D583" s="2">
        <v>1.11</v>
      </c>
      <c r="E583" s="2">
        <v>0.97</v>
      </c>
      <c r="F583" s="2">
        <v>50.0</v>
      </c>
      <c r="G583" s="4">
        <v>44460.84060005787</v>
      </c>
      <c r="H583" s="8">
        <v>44460.0</v>
      </c>
    </row>
    <row r="584">
      <c r="A584" s="2">
        <v>3.66</v>
      </c>
      <c r="B584" s="2">
        <v>229.6</v>
      </c>
      <c r="C584" s="2">
        <v>819.6</v>
      </c>
      <c r="D584" s="2">
        <v>1.11</v>
      </c>
      <c r="E584" s="2">
        <v>0.98</v>
      </c>
      <c r="F584" s="2">
        <v>50.0</v>
      </c>
      <c r="G584" s="4">
        <v>44460.840706319446</v>
      </c>
      <c r="H584" s="8">
        <v>44460.0</v>
      </c>
    </row>
    <row r="585">
      <c r="A585" s="2">
        <v>3.66</v>
      </c>
      <c r="B585" s="2">
        <v>229.6</v>
      </c>
      <c r="C585" s="2">
        <v>819.7</v>
      </c>
      <c r="D585" s="2">
        <v>1.11</v>
      </c>
      <c r="E585" s="2">
        <v>0.97</v>
      </c>
      <c r="F585" s="2">
        <v>50.0</v>
      </c>
      <c r="G585" s="4">
        <v>44460.8408083449</v>
      </c>
      <c r="H585" s="8">
        <v>44460.0</v>
      </c>
    </row>
    <row r="586">
      <c r="A586" s="2">
        <v>3.66</v>
      </c>
      <c r="B586" s="2">
        <v>229.5</v>
      </c>
      <c r="C586" s="2">
        <v>819.8</v>
      </c>
      <c r="D586" s="2">
        <v>1.11</v>
      </c>
      <c r="E586" s="2">
        <v>0.97</v>
      </c>
      <c r="F586" s="2">
        <v>50.0</v>
      </c>
      <c r="G586" s="4">
        <v>44460.84090837963</v>
      </c>
      <c r="H586" s="8">
        <v>44460.0</v>
      </c>
    </row>
    <row r="587">
      <c r="A587" s="2">
        <v>3.66</v>
      </c>
      <c r="B587" s="2">
        <v>229.5</v>
      </c>
      <c r="C587" s="2">
        <v>819.8</v>
      </c>
      <c r="D587" s="2">
        <v>1.11</v>
      </c>
      <c r="E587" s="2">
        <v>0.97</v>
      </c>
      <c r="F587" s="2">
        <v>50.0</v>
      </c>
      <c r="G587" s="4">
        <v>44460.84101255787</v>
      </c>
      <c r="H587" s="8">
        <v>44460.0</v>
      </c>
    </row>
    <row r="588">
      <c r="A588" s="2">
        <v>3.66</v>
      </c>
      <c r="B588" s="2">
        <v>229.6</v>
      </c>
      <c r="C588" s="2">
        <v>819.9</v>
      </c>
      <c r="D588" s="2">
        <v>1.12</v>
      </c>
      <c r="E588" s="2">
        <v>0.97</v>
      </c>
      <c r="F588" s="2">
        <v>50.0</v>
      </c>
      <c r="G588" s="4">
        <v>44460.84111228009</v>
      </c>
      <c r="H588" s="8">
        <v>44460.0</v>
      </c>
    </row>
    <row r="589">
      <c r="A589" s="2">
        <v>3.66</v>
      </c>
      <c r="B589" s="2">
        <v>229.6</v>
      </c>
      <c r="C589" s="2">
        <v>820.0</v>
      </c>
      <c r="D589" s="2">
        <v>1.12</v>
      </c>
      <c r="E589" s="2">
        <v>0.97</v>
      </c>
      <c r="F589" s="2">
        <v>50.0</v>
      </c>
      <c r="G589" s="4">
        <v>44460.8412153588</v>
      </c>
      <c r="H589" s="8">
        <v>44460.0</v>
      </c>
    </row>
    <row r="590">
      <c r="A590" s="2">
        <v>3.66</v>
      </c>
      <c r="B590" s="2">
        <v>229.6</v>
      </c>
      <c r="C590" s="2">
        <v>820.0</v>
      </c>
      <c r="D590" s="2">
        <v>1.12</v>
      </c>
      <c r="E590" s="2">
        <v>0.97</v>
      </c>
      <c r="F590" s="2">
        <v>50.0</v>
      </c>
      <c r="G590" s="4">
        <v>44460.84131275463</v>
      </c>
      <c r="H590" s="8">
        <v>44460.0</v>
      </c>
    </row>
    <row r="591">
      <c r="A591" s="2">
        <v>3.66</v>
      </c>
      <c r="B591" s="2">
        <v>229.6</v>
      </c>
      <c r="C591" s="2">
        <v>820.1</v>
      </c>
      <c r="D591" s="2">
        <v>1.12</v>
      </c>
      <c r="E591" s="2">
        <v>0.97</v>
      </c>
      <c r="F591" s="2">
        <v>50.0</v>
      </c>
      <c r="G591" s="4">
        <v>44460.84142302083</v>
      </c>
      <c r="H591" s="8">
        <v>44460.0</v>
      </c>
    </row>
    <row r="592">
      <c r="A592" s="2">
        <v>3.66</v>
      </c>
      <c r="B592" s="2">
        <v>229.7</v>
      </c>
      <c r="C592" s="2">
        <v>820.2</v>
      </c>
      <c r="D592" s="2">
        <v>1.12</v>
      </c>
      <c r="E592" s="2">
        <v>0.98</v>
      </c>
      <c r="F592" s="2">
        <v>50.0</v>
      </c>
      <c r="G592" s="4">
        <v>44460.84153071759</v>
      </c>
      <c r="H592" s="8">
        <v>44460.0</v>
      </c>
    </row>
    <row r="593">
      <c r="A593" s="2">
        <v>3.66</v>
      </c>
      <c r="B593" s="2">
        <v>229.8</v>
      </c>
      <c r="C593" s="2">
        <v>820.3</v>
      </c>
      <c r="D593" s="2">
        <v>1.13</v>
      </c>
      <c r="E593" s="2">
        <v>0.97</v>
      </c>
      <c r="F593" s="2">
        <v>50.0</v>
      </c>
      <c r="G593" s="4">
        <v>44460.8416397338</v>
      </c>
      <c r="H593" s="8">
        <v>44460.0</v>
      </c>
    </row>
    <row r="594">
      <c r="A594" s="2">
        <v>3.66</v>
      </c>
      <c r="B594" s="2">
        <v>229.7</v>
      </c>
      <c r="C594" s="2">
        <v>820.4</v>
      </c>
      <c r="D594" s="2">
        <v>1.13</v>
      </c>
      <c r="E594" s="2">
        <v>0.97</v>
      </c>
      <c r="F594" s="2">
        <v>50.0</v>
      </c>
      <c r="G594" s="4">
        <v>44460.841747488426</v>
      </c>
      <c r="H594" s="8">
        <v>44460.0</v>
      </c>
    </row>
    <row r="595">
      <c r="A595" s="2">
        <v>3.66</v>
      </c>
      <c r="B595" s="2">
        <v>229.8</v>
      </c>
      <c r="C595" s="2">
        <v>820.5</v>
      </c>
      <c r="D595" s="2">
        <v>1.13</v>
      </c>
      <c r="E595" s="2">
        <v>0.97</v>
      </c>
      <c r="F595" s="2">
        <v>50.0</v>
      </c>
      <c r="G595" s="4">
        <v>44460.841858217595</v>
      </c>
      <c r="H595" s="8">
        <v>44460.0</v>
      </c>
    </row>
    <row r="596">
      <c r="A596" s="2">
        <v>3.66</v>
      </c>
      <c r="B596" s="2">
        <v>229.8</v>
      </c>
      <c r="C596" s="2">
        <v>820.6</v>
      </c>
      <c r="D596" s="2">
        <v>1.13</v>
      </c>
      <c r="E596" s="2">
        <v>0.97</v>
      </c>
      <c r="F596" s="2">
        <v>50.0</v>
      </c>
      <c r="G596" s="4">
        <v>44460.841964374995</v>
      </c>
      <c r="H596" s="8">
        <v>44460.0</v>
      </c>
    </row>
    <row r="597">
      <c r="A597" s="2">
        <v>3.66</v>
      </c>
      <c r="B597" s="2">
        <v>229.8</v>
      </c>
      <c r="C597" s="2">
        <v>820.7</v>
      </c>
      <c r="D597" s="2">
        <v>1.13</v>
      </c>
      <c r="E597" s="2">
        <v>0.97</v>
      </c>
      <c r="F597" s="2">
        <v>50.0</v>
      </c>
      <c r="G597" s="4">
        <v>44460.84206422453</v>
      </c>
      <c r="H597" s="8">
        <v>44460.0</v>
      </c>
    </row>
    <row r="598">
      <c r="A598" s="2">
        <v>3.66</v>
      </c>
      <c r="B598" s="2">
        <v>229.8</v>
      </c>
      <c r="C598" s="2">
        <v>820.8</v>
      </c>
      <c r="D598" s="2">
        <v>1.14</v>
      </c>
      <c r="E598" s="2">
        <v>0.97</v>
      </c>
      <c r="F598" s="2">
        <v>50.0</v>
      </c>
      <c r="G598" s="4">
        <v>44460.84216672454</v>
      </c>
      <c r="H598" s="8">
        <v>44460.0</v>
      </c>
    </row>
    <row r="599">
      <c r="A599" s="2">
        <v>3.66</v>
      </c>
      <c r="B599" s="2">
        <v>229.8</v>
      </c>
      <c r="C599" s="2">
        <v>821.0</v>
      </c>
      <c r="D599" s="2">
        <v>1.14</v>
      </c>
      <c r="E599" s="2">
        <v>0.98</v>
      </c>
      <c r="F599" s="2">
        <v>50.0</v>
      </c>
      <c r="G599" s="4">
        <v>44460.842277627315</v>
      </c>
      <c r="H599" s="8">
        <v>44460.0</v>
      </c>
    </row>
    <row r="600">
      <c r="A600" s="2">
        <v>3.66</v>
      </c>
      <c r="B600" s="2">
        <v>229.8</v>
      </c>
      <c r="C600" s="2">
        <v>821.0</v>
      </c>
      <c r="D600" s="2">
        <v>1.14</v>
      </c>
      <c r="E600" s="2">
        <v>0.97</v>
      </c>
      <c r="F600" s="2">
        <v>50.0</v>
      </c>
      <c r="G600" s="4">
        <v>44460.84237761574</v>
      </c>
      <c r="H600" s="8">
        <v>44460.0</v>
      </c>
    </row>
    <row r="601">
      <c r="A601" s="2">
        <v>3.67</v>
      </c>
      <c r="B601" s="2">
        <v>229.7</v>
      </c>
      <c r="C601" s="2">
        <v>821.0</v>
      </c>
      <c r="D601" s="2">
        <v>1.14</v>
      </c>
      <c r="E601" s="2">
        <v>0.97</v>
      </c>
      <c r="F601" s="2">
        <v>50.0</v>
      </c>
      <c r="G601" s="4">
        <v>44460.842479259256</v>
      </c>
      <c r="H601" s="8">
        <v>44460.0</v>
      </c>
    </row>
    <row r="602">
      <c r="A602" s="2">
        <v>3.67</v>
      </c>
      <c r="B602" s="2">
        <v>229.6</v>
      </c>
      <c r="C602" s="2">
        <v>821.2</v>
      </c>
      <c r="D602" s="2">
        <v>1.14</v>
      </c>
      <c r="E602" s="2">
        <v>0.98</v>
      </c>
      <c r="F602" s="2">
        <v>50.0</v>
      </c>
      <c r="G602" s="4">
        <v>44460.842593587964</v>
      </c>
      <c r="H602" s="8">
        <v>44460.0</v>
      </c>
    </row>
    <row r="603">
      <c r="A603" s="2">
        <v>3.67</v>
      </c>
      <c r="B603" s="2">
        <v>229.7</v>
      </c>
      <c r="C603" s="2">
        <v>821.3</v>
      </c>
      <c r="D603" s="2">
        <v>1.15</v>
      </c>
      <c r="E603" s="2">
        <v>0.97</v>
      </c>
      <c r="F603" s="2">
        <v>49.9</v>
      </c>
      <c r="G603" s="4">
        <v>44460.842711006946</v>
      </c>
      <c r="H603" s="8">
        <v>44460.0</v>
      </c>
    </row>
    <row r="604">
      <c r="A604" s="2">
        <v>3.67</v>
      </c>
      <c r="B604" s="2">
        <v>229.7</v>
      </c>
      <c r="C604" s="2">
        <v>821.3</v>
      </c>
      <c r="D604" s="2">
        <v>1.15</v>
      </c>
      <c r="E604" s="2">
        <v>0.97</v>
      </c>
      <c r="F604" s="2">
        <v>50.0</v>
      </c>
      <c r="G604" s="4">
        <v>44460.842806967594</v>
      </c>
      <c r="H604" s="8">
        <v>44460.0</v>
      </c>
    </row>
    <row r="605">
      <c r="A605" s="2">
        <v>3.67</v>
      </c>
      <c r="B605" s="2">
        <v>229.7</v>
      </c>
      <c r="C605" s="2">
        <v>821.5</v>
      </c>
      <c r="D605" s="2">
        <v>1.15</v>
      </c>
      <c r="E605" s="2">
        <v>0.97</v>
      </c>
      <c r="F605" s="2">
        <v>50.0</v>
      </c>
      <c r="G605" s="4">
        <v>44460.84290444445</v>
      </c>
      <c r="H605" s="8">
        <v>44460.0</v>
      </c>
    </row>
    <row r="606">
      <c r="A606" s="2">
        <v>3.67</v>
      </c>
      <c r="B606" s="2">
        <v>229.7</v>
      </c>
      <c r="C606" s="2">
        <v>821.6</v>
      </c>
      <c r="D606" s="2">
        <v>1.15</v>
      </c>
      <c r="E606" s="2">
        <v>0.97</v>
      </c>
      <c r="F606" s="2">
        <v>50.0</v>
      </c>
      <c r="G606" s="4">
        <v>44460.84300584491</v>
      </c>
      <c r="H606" s="8">
        <v>44460.0</v>
      </c>
    </row>
    <row r="607">
      <c r="A607" s="2">
        <v>3.67</v>
      </c>
      <c r="B607" s="2">
        <v>229.8</v>
      </c>
      <c r="C607" s="2">
        <v>821.6</v>
      </c>
      <c r="D607" s="2">
        <v>1.15</v>
      </c>
      <c r="E607" s="2">
        <v>0.97</v>
      </c>
      <c r="F607" s="2">
        <v>50.0</v>
      </c>
      <c r="G607" s="4">
        <v>44460.843123506944</v>
      </c>
      <c r="H607" s="8">
        <v>44460.0</v>
      </c>
    </row>
    <row r="608">
      <c r="A608" s="2">
        <v>3.67</v>
      </c>
      <c r="B608" s="2">
        <v>229.8</v>
      </c>
      <c r="C608" s="2">
        <v>821.7</v>
      </c>
      <c r="D608" s="2">
        <v>1.16</v>
      </c>
      <c r="E608" s="2">
        <v>0.97</v>
      </c>
      <c r="F608" s="2">
        <v>50.0</v>
      </c>
      <c r="G608" s="4">
        <v>44460.843222615746</v>
      </c>
      <c r="H608" s="8">
        <v>44460.0</v>
      </c>
    </row>
    <row r="609">
      <c r="A609" s="2">
        <v>3.67</v>
      </c>
      <c r="B609" s="2">
        <v>229.8</v>
      </c>
      <c r="C609" s="2">
        <v>821.8</v>
      </c>
      <c r="D609" s="2">
        <v>1.16</v>
      </c>
      <c r="E609" s="2">
        <v>0.97</v>
      </c>
      <c r="F609" s="2">
        <v>50.0</v>
      </c>
      <c r="G609" s="4">
        <v>44460.843331446755</v>
      </c>
      <c r="H609" s="8">
        <v>44460.0</v>
      </c>
    </row>
    <row r="610">
      <c r="A610" s="2">
        <v>3.67</v>
      </c>
      <c r="B610" s="2">
        <v>229.8</v>
      </c>
      <c r="C610" s="2">
        <v>821.9</v>
      </c>
      <c r="D610" s="2">
        <v>1.16</v>
      </c>
      <c r="E610" s="2">
        <v>0.97</v>
      </c>
      <c r="F610" s="2">
        <v>50.0</v>
      </c>
      <c r="G610" s="4">
        <v>44460.843437523145</v>
      </c>
      <c r="H610" s="8">
        <v>44460.0</v>
      </c>
    </row>
    <row r="611">
      <c r="A611" s="2">
        <v>3.67</v>
      </c>
      <c r="B611" s="2">
        <v>229.7</v>
      </c>
      <c r="C611" s="2">
        <v>822.1</v>
      </c>
      <c r="D611" s="2">
        <v>1.16</v>
      </c>
      <c r="E611" s="2">
        <v>0.97</v>
      </c>
      <c r="F611" s="2">
        <v>50.0</v>
      </c>
      <c r="G611" s="4">
        <v>44460.84354207176</v>
      </c>
      <c r="H611" s="8">
        <v>44460.0</v>
      </c>
    </row>
    <row r="612">
      <c r="A612" s="2">
        <v>3.67</v>
      </c>
      <c r="B612" s="2">
        <v>229.8</v>
      </c>
      <c r="C612" s="2">
        <v>822.1</v>
      </c>
      <c r="D612" s="2">
        <v>1.16</v>
      </c>
      <c r="E612" s="2">
        <v>0.97</v>
      </c>
      <c r="F612" s="2">
        <v>50.0</v>
      </c>
      <c r="G612" s="4">
        <v>44460.84363898148</v>
      </c>
      <c r="H612" s="8">
        <v>44460.0</v>
      </c>
    </row>
    <row r="613">
      <c r="A613" s="2">
        <v>3.67</v>
      </c>
      <c r="B613" s="2">
        <v>229.8</v>
      </c>
      <c r="C613" s="2">
        <v>822.2</v>
      </c>
      <c r="D613" s="2">
        <v>1.17</v>
      </c>
      <c r="E613" s="2">
        <v>0.97</v>
      </c>
      <c r="F613" s="2">
        <v>50.0</v>
      </c>
      <c r="G613" s="4">
        <v>44460.843736944444</v>
      </c>
      <c r="H613" s="8">
        <v>44460.0</v>
      </c>
    </row>
    <row r="614">
      <c r="A614" s="2">
        <v>3.67</v>
      </c>
      <c r="B614" s="2">
        <v>229.7</v>
      </c>
      <c r="C614" s="2">
        <v>822.2</v>
      </c>
      <c r="D614" s="2">
        <v>1.17</v>
      </c>
      <c r="E614" s="2">
        <v>0.98</v>
      </c>
      <c r="F614" s="2">
        <v>50.0</v>
      </c>
      <c r="G614" s="4">
        <v>44460.84383520833</v>
      </c>
      <c r="H614" s="8">
        <v>44460.0</v>
      </c>
    </row>
    <row r="615">
      <c r="A615" s="2">
        <v>3.67</v>
      </c>
      <c r="B615" s="2">
        <v>229.6</v>
      </c>
      <c r="C615" s="2">
        <v>822.3</v>
      </c>
      <c r="D615" s="2">
        <v>1.17</v>
      </c>
      <c r="E615" s="2">
        <v>0.97</v>
      </c>
      <c r="F615" s="2">
        <v>49.9</v>
      </c>
      <c r="G615" s="4">
        <v>44460.8439369213</v>
      </c>
      <c r="H615" s="8">
        <v>44460.0</v>
      </c>
    </row>
    <row r="616">
      <c r="A616" s="2">
        <v>3.67</v>
      </c>
      <c r="B616" s="2">
        <v>229.7</v>
      </c>
      <c r="C616" s="2">
        <v>822.5</v>
      </c>
      <c r="D616" s="2">
        <v>1.17</v>
      </c>
      <c r="E616" s="2">
        <v>0.97</v>
      </c>
      <c r="F616" s="2">
        <v>49.9</v>
      </c>
      <c r="G616" s="4">
        <v>44460.844058703704</v>
      </c>
      <c r="H616" s="8">
        <v>44460.0</v>
      </c>
    </row>
    <row r="617">
      <c r="A617" s="2">
        <v>3.67</v>
      </c>
      <c r="B617" s="2">
        <v>229.6</v>
      </c>
      <c r="C617" s="2">
        <v>822.6</v>
      </c>
      <c r="D617" s="2">
        <v>1.17</v>
      </c>
      <c r="E617" s="2">
        <v>0.97</v>
      </c>
      <c r="F617" s="2">
        <v>49.9</v>
      </c>
      <c r="G617" s="4">
        <v>44460.84416065972</v>
      </c>
      <c r="H617" s="8">
        <v>44460.0</v>
      </c>
    </row>
    <row r="618">
      <c r="A618" s="2">
        <v>3.67</v>
      </c>
      <c r="B618" s="2">
        <v>229.6</v>
      </c>
      <c r="C618" s="2">
        <v>822.7</v>
      </c>
      <c r="D618" s="2">
        <v>1.18</v>
      </c>
      <c r="E618" s="2">
        <v>0.98</v>
      </c>
      <c r="F618" s="2">
        <v>49.9</v>
      </c>
      <c r="G618" s="4">
        <v>44460.84426612269</v>
      </c>
      <c r="H618" s="8">
        <v>44460.0</v>
      </c>
    </row>
    <row r="619">
      <c r="A619" s="2">
        <v>3.67</v>
      </c>
      <c r="B619" s="2">
        <v>229.7</v>
      </c>
      <c r="C619" s="2">
        <v>822.7</v>
      </c>
      <c r="D619" s="2">
        <v>1.18</v>
      </c>
      <c r="E619" s="2">
        <v>0.97</v>
      </c>
      <c r="F619" s="2">
        <v>49.9</v>
      </c>
      <c r="G619" s="4">
        <v>44460.84436633102</v>
      </c>
      <c r="H619" s="8">
        <v>44460.0</v>
      </c>
    </row>
    <row r="620">
      <c r="A620" s="2">
        <v>3.68</v>
      </c>
      <c r="B620" s="2">
        <v>229.6</v>
      </c>
      <c r="C620" s="2">
        <v>822.9</v>
      </c>
      <c r="D620" s="2">
        <v>1.18</v>
      </c>
      <c r="E620" s="2">
        <v>0.97</v>
      </c>
      <c r="F620" s="2">
        <v>49.9</v>
      </c>
      <c r="G620" s="4">
        <v>44460.84447195602</v>
      </c>
      <c r="H620" s="8">
        <v>44460.0</v>
      </c>
    </row>
    <row r="621">
      <c r="A621" s="2">
        <v>3.67</v>
      </c>
      <c r="B621" s="2">
        <v>229.7</v>
      </c>
      <c r="C621" s="2">
        <v>822.9</v>
      </c>
      <c r="D621" s="2">
        <v>1.18</v>
      </c>
      <c r="E621" s="2">
        <v>0.97</v>
      </c>
      <c r="F621" s="2">
        <v>49.9</v>
      </c>
      <c r="G621" s="4">
        <v>44460.844578958335</v>
      </c>
      <c r="H621" s="8">
        <v>44460.0</v>
      </c>
    </row>
    <row r="622">
      <c r="A622" s="2">
        <v>3.67</v>
      </c>
      <c r="B622" s="2">
        <v>229.8</v>
      </c>
      <c r="C622" s="2">
        <v>823.1</v>
      </c>
      <c r="D622" s="2">
        <v>1.18</v>
      </c>
      <c r="E622" s="2">
        <v>0.97</v>
      </c>
      <c r="F622" s="2">
        <v>50.0</v>
      </c>
      <c r="G622" s="4">
        <v>44460.84468193287</v>
      </c>
      <c r="H622" s="8">
        <v>44460.0</v>
      </c>
    </row>
    <row r="623">
      <c r="A623" s="2">
        <v>3.67</v>
      </c>
      <c r="B623" s="2">
        <v>229.8</v>
      </c>
      <c r="C623" s="2">
        <v>823.2</v>
      </c>
      <c r="D623" s="2">
        <v>1.19</v>
      </c>
      <c r="E623" s="2">
        <v>0.98</v>
      </c>
      <c r="F623" s="2">
        <v>50.0</v>
      </c>
      <c r="G623" s="4">
        <v>44460.84477905092</v>
      </c>
      <c r="H623" s="8">
        <v>44460.0</v>
      </c>
    </row>
    <row r="624">
      <c r="A624" s="2">
        <v>3.67</v>
      </c>
      <c r="B624" s="2">
        <v>229.9</v>
      </c>
      <c r="C624" s="2">
        <v>823.3</v>
      </c>
      <c r="D624" s="2">
        <v>1.19</v>
      </c>
      <c r="E624" s="2">
        <v>0.97</v>
      </c>
      <c r="F624" s="2">
        <v>50.0</v>
      </c>
      <c r="G624" s="4">
        <v>44460.84487739584</v>
      </c>
      <c r="H624" s="8">
        <v>44460.0</v>
      </c>
    </row>
    <row r="625">
      <c r="A625" s="2">
        <v>3.67</v>
      </c>
      <c r="B625" s="2">
        <v>230.0</v>
      </c>
      <c r="C625" s="2">
        <v>823.3</v>
      </c>
      <c r="D625" s="2">
        <v>1.19</v>
      </c>
      <c r="E625" s="2">
        <v>0.97</v>
      </c>
      <c r="F625" s="2">
        <v>50.0</v>
      </c>
      <c r="G625" s="4">
        <v>44460.84498086806</v>
      </c>
      <c r="H625" s="8">
        <v>44460.0</v>
      </c>
    </row>
    <row r="626">
      <c r="A626" s="2">
        <v>3.67</v>
      </c>
      <c r="B626" s="2">
        <v>230.1</v>
      </c>
      <c r="C626" s="2">
        <v>823.5</v>
      </c>
      <c r="D626" s="2">
        <v>1.19</v>
      </c>
      <c r="E626" s="2">
        <v>0.97</v>
      </c>
      <c r="F626" s="2">
        <v>50.0</v>
      </c>
      <c r="G626" s="4">
        <v>44460.84508292824</v>
      </c>
      <c r="H626" s="8">
        <v>44460.0</v>
      </c>
    </row>
    <row r="627">
      <c r="A627" s="2">
        <v>3.67</v>
      </c>
      <c r="B627" s="2">
        <v>230.0</v>
      </c>
      <c r="C627" s="2">
        <v>823.6</v>
      </c>
      <c r="D627" s="2">
        <v>1.2</v>
      </c>
      <c r="E627" s="2">
        <v>0.97</v>
      </c>
      <c r="F627" s="2">
        <v>50.0</v>
      </c>
      <c r="G627" s="4">
        <v>44460.84518665509</v>
      </c>
      <c r="H627" s="8">
        <v>44460.0</v>
      </c>
    </row>
    <row r="628">
      <c r="A628" s="2">
        <v>3.67</v>
      </c>
      <c r="B628" s="2">
        <v>230.0</v>
      </c>
      <c r="C628" s="2">
        <v>823.8</v>
      </c>
      <c r="D628" s="2">
        <v>1.2</v>
      </c>
      <c r="E628" s="2">
        <v>0.97</v>
      </c>
      <c r="F628" s="2">
        <v>50.0</v>
      </c>
      <c r="G628" s="4">
        <v>44460.84528954861</v>
      </c>
      <c r="H628" s="8">
        <v>44460.0</v>
      </c>
    </row>
    <row r="629">
      <c r="A629" s="2">
        <v>3.67</v>
      </c>
      <c r="B629" s="2">
        <v>229.9</v>
      </c>
      <c r="C629" s="2">
        <v>823.8</v>
      </c>
      <c r="D629" s="2">
        <v>1.2</v>
      </c>
      <c r="E629" s="2">
        <v>0.98</v>
      </c>
      <c r="F629" s="2">
        <v>50.0</v>
      </c>
      <c r="G629" s="4">
        <v>44460.84539402778</v>
      </c>
      <c r="H629" s="8">
        <v>44460.0</v>
      </c>
    </row>
    <row r="630">
      <c r="A630" s="2">
        <v>3.67</v>
      </c>
      <c r="B630" s="2">
        <v>230.0</v>
      </c>
      <c r="C630" s="2">
        <v>823.9</v>
      </c>
      <c r="D630" s="2">
        <v>1.2</v>
      </c>
      <c r="E630" s="2">
        <v>0.97</v>
      </c>
      <c r="F630" s="2">
        <v>50.0</v>
      </c>
      <c r="G630" s="4">
        <v>44460.84549305556</v>
      </c>
      <c r="H630" s="8">
        <v>44460.0</v>
      </c>
    </row>
    <row r="631">
      <c r="A631" s="2">
        <v>3.68</v>
      </c>
      <c r="B631" s="2">
        <v>229.9</v>
      </c>
      <c r="C631" s="2">
        <v>824.0</v>
      </c>
      <c r="D631" s="2">
        <v>1.2</v>
      </c>
      <c r="E631" s="2">
        <v>0.97</v>
      </c>
      <c r="F631" s="2">
        <v>50.0</v>
      </c>
      <c r="G631" s="4">
        <v>44460.84559913195</v>
      </c>
      <c r="H631" s="8">
        <v>44460.0</v>
      </c>
    </row>
    <row r="632">
      <c r="A632" s="2">
        <v>3.68</v>
      </c>
      <c r="B632" s="2">
        <v>229.7</v>
      </c>
      <c r="C632" s="2">
        <v>824.2</v>
      </c>
      <c r="D632" s="2">
        <v>1.21</v>
      </c>
      <c r="E632" s="2">
        <v>0.98</v>
      </c>
      <c r="F632" s="2">
        <v>50.0</v>
      </c>
      <c r="G632" s="4">
        <v>44460.84570677084</v>
      </c>
      <c r="H632" s="8">
        <v>44460.0</v>
      </c>
    </row>
    <row r="633">
      <c r="A633" s="2">
        <v>3.68</v>
      </c>
      <c r="B633" s="2">
        <v>229.7</v>
      </c>
      <c r="C633" s="2">
        <v>824.2</v>
      </c>
      <c r="D633" s="2">
        <v>1.21</v>
      </c>
      <c r="E633" s="2">
        <v>0.98</v>
      </c>
      <c r="F633" s="2">
        <v>50.0</v>
      </c>
      <c r="G633" s="4">
        <v>44460.845810810184</v>
      </c>
      <c r="H633" s="8">
        <v>44460.0</v>
      </c>
    </row>
    <row r="634">
      <c r="A634" s="2">
        <v>3.68</v>
      </c>
      <c r="B634" s="2">
        <v>229.7</v>
      </c>
      <c r="C634" s="2">
        <v>824.4</v>
      </c>
      <c r="D634" s="2">
        <v>1.21</v>
      </c>
      <c r="E634" s="2">
        <v>0.97</v>
      </c>
      <c r="F634" s="2">
        <v>50.0</v>
      </c>
      <c r="G634" s="4">
        <v>44460.84590840278</v>
      </c>
      <c r="H634" s="8">
        <v>44460.0</v>
      </c>
    </row>
    <row r="635">
      <c r="A635" s="2">
        <v>3.68</v>
      </c>
      <c r="B635" s="2">
        <v>229.6</v>
      </c>
      <c r="C635" s="2">
        <v>824.4</v>
      </c>
      <c r="D635" s="2">
        <v>1.21</v>
      </c>
      <c r="E635" s="2">
        <v>0.97</v>
      </c>
      <c r="F635" s="2">
        <v>49.9</v>
      </c>
      <c r="G635" s="4">
        <v>44460.84601326389</v>
      </c>
      <c r="H635" s="8">
        <v>44460.0</v>
      </c>
    </row>
    <row r="636">
      <c r="A636" s="2">
        <v>3.68</v>
      </c>
      <c r="B636" s="2">
        <v>229.6</v>
      </c>
      <c r="C636" s="2">
        <v>824.5</v>
      </c>
      <c r="D636" s="2">
        <v>1.21</v>
      </c>
      <c r="E636" s="2">
        <v>0.98</v>
      </c>
      <c r="F636" s="2">
        <v>49.9</v>
      </c>
      <c r="G636" s="4">
        <v>44460.846120381946</v>
      </c>
      <c r="H636" s="8">
        <v>44460.0</v>
      </c>
    </row>
    <row r="637">
      <c r="A637" s="2">
        <v>3.68</v>
      </c>
      <c r="B637" s="2">
        <v>229.6</v>
      </c>
      <c r="C637" s="2">
        <v>824.6</v>
      </c>
      <c r="D637" s="2">
        <v>1.22</v>
      </c>
      <c r="E637" s="2">
        <v>0.97</v>
      </c>
      <c r="F637" s="2">
        <v>50.0</v>
      </c>
      <c r="G637" s="4">
        <v>44460.84622076389</v>
      </c>
      <c r="H637" s="8">
        <v>44460.0</v>
      </c>
    </row>
    <row r="638">
      <c r="A638" s="2">
        <v>3.69</v>
      </c>
      <c r="B638" s="2">
        <v>229.5</v>
      </c>
      <c r="C638" s="2">
        <v>824.7</v>
      </c>
      <c r="D638" s="2">
        <v>1.22</v>
      </c>
      <c r="E638" s="2">
        <v>0.97</v>
      </c>
      <c r="F638" s="2">
        <v>49.9</v>
      </c>
      <c r="G638" s="4">
        <v>44460.84631652778</v>
      </c>
      <c r="H638" s="8">
        <v>44460.0</v>
      </c>
    </row>
    <row r="639">
      <c r="A639" s="2">
        <v>3.69</v>
      </c>
      <c r="B639" s="2">
        <v>229.5</v>
      </c>
      <c r="C639" s="2">
        <v>824.8</v>
      </c>
      <c r="D639" s="2">
        <v>1.22</v>
      </c>
      <c r="E639" s="2">
        <v>0.97</v>
      </c>
      <c r="F639" s="2">
        <v>49.9</v>
      </c>
      <c r="G639" s="4">
        <v>44460.846418506946</v>
      </c>
      <c r="H639" s="8">
        <v>44460.0</v>
      </c>
    </row>
    <row r="640">
      <c r="A640" s="2">
        <v>3.69</v>
      </c>
      <c r="B640" s="2">
        <v>229.6</v>
      </c>
      <c r="C640" s="2">
        <v>825.0</v>
      </c>
      <c r="D640" s="2">
        <v>1.22</v>
      </c>
      <c r="E640" s="2">
        <v>0.97</v>
      </c>
      <c r="F640" s="2">
        <v>50.0</v>
      </c>
      <c r="G640" s="4">
        <v>44460.84652153935</v>
      </c>
      <c r="H640" s="8">
        <v>44460.0</v>
      </c>
    </row>
    <row r="641">
      <c r="A641" s="2">
        <v>3.69</v>
      </c>
      <c r="B641" s="2">
        <v>229.6</v>
      </c>
      <c r="C641" s="2">
        <v>825.1</v>
      </c>
      <c r="D641" s="2">
        <v>1.22</v>
      </c>
      <c r="E641" s="2">
        <v>0.97</v>
      </c>
      <c r="F641" s="2">
        <v>50.0</v>
      </c>
      <c r="G641" s="4">
        <v>44460.84661869213</v>
      </c>
      <c r="H641" s="8">
        <v>44460.0</v>
      </c>
    </row>
    <row r="642">
      <c r="A642" s="2">
        <v>3.68</v>
      </c>
      <c r="B642" s="2">
        <v>229.7</v>
      </c>
      <c r="C642" s="2">
        <v>825.1</v>
      </c>
      <c r="D642" s="2">
        <v>1.23</v>
      </c>
      <c r="E642" s="2">
        <v>0.97</v>
      </c>
      <c r="F642" s="2">
        <v>49.9</v>
      </c>
      <c r="G642" s="4">
        <v>44460.846718506946</v>
      </c>
      <c r="H642" s="8">
        <v>44460.0</v>
      </c>
    </row>
    <row r="643">
      <c r="A643" s="2">
        <v>3.68</v>
      </c>
      <c r="B643" s="2">
        <v>229.7</v>
      </c>
      <c r="C643" s="2">
        <v>825.2</v>
      </c>
      <c r="D643" s="2">
        <v>1.23</v>
      </c>
      <c r="E643" s="2">
        <v>0.98</v>
      </c>
      <c r="F643" s="2">
        <v>50.0</v>
      </c>
      <c r="G643" s="4">
        <v>44460.84682346065</v>
      </c>
      <c r="H643" s="8">
        <v>44460.0</v>
      </c>
    </row>
    <row r="644">
      <c r="A644" s="2">
        <v>3.68</v>
      </c>
      <c r="B644" s="2">
        <v>230.0</v>
      </c>
      <c r="C644" s="2">
        <v>825.3</v>
      </c>
      <c r="D644" s="2">
        <v>1.23</v>
      </c>
      <c r="E644" s="2">
        <v>0.97</v>
      </c>
      <c r="F644" s="2">
        <v>50.0</v>
      </c>
      <c r="G644" s="4">
        <v>44460.84692253472</v>
      </c>
      <c r="H644" s="8">
        <v>44460.0</v>
      </c>
    </row>
    <row r="645">
      <c r="A645" s="2">
        <v>3.68</v>
      </c>
      <c r="B645" s="2">
        <v>229.9</v>
      </c>
      <c r="C645" s="2">
        <v>825.4</v>
      </c>
      <c r="D645" s="2">
        <v>1.23</v>
      </c>
      <c r="E645" s="2">
        <v>0.97</v>
      </c>
      <c r="F645" s="2">
        <v>50.0</v>
      </c>
      <c r="G645" s="4">
        <v>44460.84704699074</v>
      </c>
      <c r="H645" s="8">
        <v>44460.0</v>
      </c>
    </row>
    <row r="646">
      <c r="A646" s="2">
        <v>3.68</v>
      </c>
      <c r="B646" s="2">
        <v>229.9</v>
      </c>
      <c r="C646" s="2">
        <v>825.5</v>
      </c>
      <c r="D646" s="2">
        <v>1.23</v>
      </c>
      <c r="E646" s="2">
        <v>0.97</v>
      </c>
      <c r="F646" s="2">
        <v>50.0</v>
      </c>
      <c r="G646" s="4">
        <v>44460.84714532408</v>
      </c>
      <c r="H646" s="8">
        <v>44460.0</v>
      </c>
    </row>
    <row r="647">
      <c r="A647" s="2">
        <v>3.68</v>
      </c>
      <c r="B647" s="2">
        <v>229.9</v>
      </c>
      <c r="C647" s="2">
        <v>825.6</v>
      </c>
      <c r="D647" s="2">
        <v>1.24</v>
      </c>
      <c r="E647" s="2">
        <v>0.98</v>
      </c>
      <c r="F647" s="2">
        <v>50.0</v>
      </c>
      <c r="G647" s="4">
        <v>44460.8472462037</v>
      </c>
      <c r="H647" s="8">
        <v>44460.0</v>
      </c>
    </row>
    <row r="648">
      <c r="A648" s="2">
        <v>3.68</v>
      </c>
      <c r="B648" s="2">
        <v>229.9</v>
      </c>
      <c r="C648" s="2">
        <v>825.8</v>
      </c>
      <c r="D648" s="2">
        <v>1.24</v>
      </c>
      <c r="E648" s="2">
        <v>0.98</v>
      </c>
      <c r="F648" s="2">
        <v>50.0</v>
      </c>
      <c r="G648" s="4">
        <v>44460.84734712963</v>
      </c>
      <c r="H648" s="8">
        <v>44460.0</v>
      </c>
    </row>
    <row r="649">
      <c r="A649" s="2">
        <v>3.68</v>
      </c>
      <c r="B649" s="2">
        <v>230.0</v>
      </c>
      <c r="C649" s="2">
        <v>825.9</v>
      </c>
      <c r="D649" s="2">
        <v>1.24</v>
      </c>
      <c r="E649" s="2">
        <v>0.97</v>
      </c>
      <c r="F649" s="2">
        <v>50.0</v>
      </c>
      <c r="G649" s="4">
        <v>44460.847443136576</v>
      </c>
      <c r="H649" s="8">
        <v>44460.0</v>
      </c>
    </row>
    <row r="650">
      <c r="A650" s="2">
        <v>3.68</v>
      </c>
      <c r="B650" s="2">
        <v>230.0</v>
      </c>
      <c r="C650" s="2">
        <v>826.0</v>
      </c>
      <c r="D650" s="2">
        <v>1.24</v>
      </c>
      <c r="E650" s="2">
        <v>0.97</v>
      </c>
      <c r="F650" s="2">
        <v>50.0</v>
      </c>
      <c r="G650" s="4">
        <v>44460.84754021991</v>
      </c>
      <c r="H650" s="8">
        <v>44460.0</v>
      </c>
    </row>
    <row r="651">
      <c r="A651" s="2">
        <v>3.68</v>
      </c>
      <c r="B651" s="2">
        <v>230.0</v>
      </c>
      <c r="C651" s="2">
        <v>826.1</v>
      </c>
      <c r="D651" s="2">
        <v>1.24</v>
      </c>
      <c r="E651" s="2">
        <v>0.97</v>
      </c>
      <c r="F651" s="2">
        <v>50.0</v>
      </c>
      <c r="G651" s="4">
        <v>44460.84763744213</v>
      </c>
      <c r="H651" s="8">
        <v>44460.0</v>
      </c>
    </row>
    <row r="652">
      <c r="A652" s="2">
        <v>3.68</v>
      </c>
      <c r="B652" s="2">
        <v>230.1</v>
      </c>
      <c r="C652" s="2">
        <v>826.1</v>
      </c>
      <c r="D652" s="2">
        <v>1.25</v>
      </c>
      <c r="E652" s="2">
        <v>0.97</v>
      </c>
      <c r="F652" s="2">
        <v>50.0</v>
      </c>
      <c r="G652" s="4">
        <v>44460.847741307865</v>
      </c>
      <c r="H652" s="8">
        <v>44460.0</v>
      </c>
    </row>
    <row r="653">
      <c r="A653" s="2">
        <v>3.68</v>
      </c>
      <c r="B653" s="2">
        <v>230.1</v>
      </c>
      <c r="C653" s="2">
        <v>826.2</v>
      </c>
      <c r="D653" s="2">
        <v>1.25</v>
      </c>
      <c r="E653" s="2">
        <v>0.97</v>
      </c>
      <c r="F653" s="2">
        <v>50.0</v>
      </c>
      <c r="G653" s="4">
        <v>44460.847838877315</v>
      </c>
      <c r="H653" s="8">
        <v>44460.0</v>
      </c>
    </row>
    <row r="654">
      <c r="A654" s="2">
        <v>3.68</v>
      </c>
      <c r="B654" s="2">
        <v>230.1</v>
      </c>
      <c r="C654" s="2">
        <v>826.3</v>
      </c>
      <c r="D654" s="2">
        <v>1.25</v>
      </c>
      <c r="E654" s="2">
        <v>0.98</v>
      </c>
      <c r="F654" s="2">
        <v>50.0</v>
      </c>
      <c r="G654" s="4">
        <v>44460.84796555556</v>
      </c>
      <c r="H654" s="8">
        <v>44460.0</v>
      </c>
    </row>
    <row r="655">
      <c r="A655" s="2">
        <v>3.68</v>
      </c>
      <c r="B655" s="2">
        <v>230.1</v>
      </c>
      <c r="C655" s="2">
        <v>826.4</v>
      </c>
      <c r="D655" s="2">
        <v>1.25</v>
      </c>
      <c r="E655" s="2">
        <v>0.97</v>
      </c>
      <c r="F655" s="2">
        <v>50.0</v>
      </c>
      <c r="G655" s="4">
        <v>44460.84809884259</v>
      </c>
      <c r="H655" s="8">
        <v>44460.0</v>
      </c>
    </row>
    <row r="656">
      <c r="A656" s="2">
        <v>3.69</v>
      </c>
      <c r="B656" s="2">
        <v>230.0</v>
      </c>
      <c r="C656" s="2">
        <v>826.6</v>
      </c>
      <c r="D656" s="2">
        <v>1.25</v>
      </c>
      <c r="E656" s="2">
        <v>0.98</v>
      </c>
      <c r="F656" s="2">
        <v>50.0</v>
      </c>
      <c r="G656" s="4">
        <v>44460.84819796296</v>
      </c>
      <c r="H656" s="8">
        <v>44460.0</v>
      </c>
    </row>
    <row r="657">
      <c r="A657" s="2">
        <v>3.68</v>
      </c>
      <c r="B657" s="2">
        <v>230.1</v>
      </c>
      <c r="C657" s="2">
        <v>826.6</v>
      </c>
      <c r="D657" s="2">
        <v>1.26</v>
      </c>
      <c r="E657" s="2">
        <v>0.97</v>
      </c>
      <c r="F657" s="2">
        <v>50.0</v>
      </c>
      <c r="G657" s="4">
        <v>44460.8482966088</v>
      </c>
      <c r="H657" s="8">
        <v>44460.0</v>
      </c>
    </row>
    <row r="658">
      <c r="A658" s="2">
        <v>3.68</v>
      </c>
      <c r="B658" s="2">
        <v>230.2</v>
      </c>
      <c r="C658" s="2">
        <v>826.8</v>
      </c>
      <c r="D658" s="2">
        <v>1.26</v>
      </c>
      <c r="E658" s="2">
        <v>0.97</v>
      </c>
      <c r="F658" s="2">
        <v>50.0</v>
      </c>
      <c r="G658" s="4">
        <v>44460.8484628588</v>
      </c>
      <c r="H658" s="8">
        <v>44460.0</v>
      </c>
    </row>
    <row r="659">
      <c r="A659" s="2">
        <v>3.69</v>
      </c>
      <c r="B659" s="2">
        <v>230.2</v>
      </c>
      <c r="C659" s="2">
        <v>827.0</v>
      </c>
      <c r="D659" s="2">
        <v>1.26</v>
      </c>
      <c r="E659" s="2">
        <v>0.97</v>
      </c>
      <c r="F659" s="2">
        <v>50.0</v>
      </c>
      <c r="G659" s="4">
        <v>44460.848582025465</v>
      </c>
      <c r="H659" s="8">
        <v>44460.0</v>
      </c>
    </row>
    <row r="660">
      <c r="A660" s="2">
        <v>3.68</v>
      </c>
      <c r="B660" s="2">
        <v>230.2</v>
      </c>
      <c r="C660" s="2">
        <v>827.0</v>
      </c>
      <c r="D660" s="2">
        <v>1.26</v>
      </c>
      <c r="E660" s="2">
        <v>0.97</v>
      </c>
      <c r="F660" s="2">
        <v>50.0</v>
      </c>
      <c r="G660" s="4">
        <v>44460.84868689815</v>
      </c>
      <c r="H660" s="8">
        <v>44460.0</v>
      </c>
    </row>
    <row r="661">
      <c r="A661" s="2">
        <v>3.68</v>
      </c>
      <c r="B661" s="2">
        <v>230.3</v>
      </c>
      <c r="C661" s="2">
        <v>827.2</v>
      </c>
      <c r="D661" s="2">
        <v>1.27</v>
      </c>
      <c r="E661" s="2">
        <v>0.97</v>
      </c>
      <c r="F661" s="2">
        <v>50.0</v>
      </c>
      <c r="G661" s="4">
        <v>44460.8487863426</v>
      </c>
      <c r="H661" s="8">
        <v>44460.0</v>
      </c>
    </row>
    <row r="662">
      <c r="A662" s="2">
        <v>3.69</v>
      </c>
      <c r="B662" s="2">
        <v>230.1</v>
      </c>
      <c r="C662" s="2">
        <v>827.3</v>
      </c>
      <c r="D662" s="2">
        <v>1.27</v>
      </c>
      <c r="E662" s="2">
        <v>0.98</v>
      </c>
      <c r="F662" s="2">
        <v>50.0</v>
      </c>
      <c r="G662" s="4">
        <v>44460.84889283565</v>
      </c>
      <c r="H662" s="8">
        <v>44460.0</v>
      </c>
    </row>
    <row r="663">
      <c r="A663" s="2">
        <v>3.69</v>
      </c>
      <c r="B663" s="2">
        <v>230.3</v>
      </c>
      <c r="C663" s="2">
        <v>827.3</v>
      </c>
      <c r="D663" s="2">
        <v>1.27</v>
      </c>
      <c r="E663" s="2">
        <v>0.97</v>
      </c>
      <c r="F663" s="2">
        <v>50.0</v>
      </c>
      <c r="G663" s="4">
        <v>44460.84899196759</v>
      </c>
      <c r="H663" s="8">
        <v>44460.0</v>
      </c>
    </row>
    <row r="664">
      <c r="A664" s="2">
        <v>3.69</v>
      </c>
      <c r="B664" s="2">
        <v>230.3</v>
      </c>
      <c r="C664" s="2">
        <v>827.5</v>
      </c>
      <c r="D664" s="2">
        <v>1.27</v>
      </c>
      <c r="E664" s="2">
        <v>0.97</v>
      </c>
      <c r="F664" s="2">
        <v>50.0</v>
      </c>
      <c r="G664" s="4">
        <v>44460.84909621528</v>
      </c>
      <c r="H664" s="8">
        <v>44460.0</v>
      </c>
    </row>
    <row r="665">
      <c r="A665" s="2">
        <v>3.69</v>
      </c>
      <c r="B665" s="2">
        <v>230.3</v>
      </c>
      <c r="C665" s="2">
        <v>827.6</v>
      </c>
      <c r="D665" s="2">
        <v>1.27</v>
      </c>
      <c r="E665" s="2">
        <v>0.97</v>
      </c>
      <c r="F665" s="2">
        <v>50.0</v>
      </c>
      <c r="G665" s="4">
        <v>44460.84919969908</v>
      </c>
      <c r="H665" s="8">
        <v>44460.0</v>
      </c>
    </row>
    <row r="666">
      <c r="A666" s="2">
        <v>3.68</v>
      </c>
      <c r="B666" s="2">
        <v>230.3</v>
      </c>
      <c r="C666" s="2">
        <v>827.5</v>
      </c>
      <c r="D666" s="2">
        <v>1.28</v>
      </c>
      <c r="E666" s="2">
        <v>0.98</v>
      </c>
      <c r="F666" s="2">
        <v>50.0</v>
      </c>
      <c r="G666" s="4">
        <v>44460.84930327546</v>
      </c>
      <c r="H666" s="8">
        <v>44460.0</v>
      </c>
    </row>
    <row r="667">
      <c r="A667" s="2">
        <v>3.69</v>
      </c>
      <c r="B667" s="2">
        <v>230.3</v>
      </c>
      <c r="C667" s="2">
        <v>827.6</v>
      </c>
      <c r="D667" s="2">
        <v>1.28</v>
      </c>
      <c r="E667" s="2">
        <v>0.97</v>
      </c>
      <c r="F667" s="2">
        <v>50.0</v>
      </c>
      <c r="G667" s="4">
        <v>44460.84940864584</v>
      </c>
      <c r="H667" s="8">
        <v>44460.0</v>
      </c>
    </row>
    <row r="668">
      <c r="A668" s="2">
        <v>3.69</v>
      </c>
      <c r="B668" s="2">
        <v>230.2</v>
      </c>
      <c r="C668" s="2">
        <v>827.5</v>
      </c>
      <c r="D668" s="2">
        <v>1.28</v>
      </c>
      <c r="E668" s="2">
        <v>0.97</v>
      </c>
      <c r="F668" s="2">
        <v>49.9</v>
      </c>
      <c r="G668" s="4">
        <v>44460.84950833333</v>
      </c>
      <c r="H668" s="8">
        <v>44460.0</v>
      </c>
    </row>
    <row r="669">
      <c r="A669" s="2">
        <v>3.69</v>
      </c>
      <c r="B669" s="2">
        <v>230.2</v>
      </c>
      <c r="C669" s="2">
        <v>827.7</v>
      </c>
      <c r="D669" s="2">
        <v>1.28</v>
      </c>
      <c r="E669" s="2">
        <v>0.97</v>
      </c>
      <c r="F669" s="2">
        <v>50.0</v>
      </c>
      <c r="G669" s="4">
        <v>44460.84961017361</v>
      </c>
      <c r="H669" s="8">
        <v>44460.0</v>
      </c>
    </row>
    <row r="670">
      <c r="A670" s="2">
        <v>3.69</v>
      </c>
      <c r="B670" s="2">
        <v>230.1</v>
      </c>
      <c r="C670" s="2">
        <v>827.5</v>
      </c>
      <c r="D670" s="2">
        <v>1.28</v>
      </c>
      <c r="E670" s="2">
        <v>0.97</v>
      </c>
      <c r="F670" s="2">
        <v>49.9</v>
      </c>
      <c r="G670" s="4">
        <v>44460.849716412034</v>
      </c>
      <c r="H670" s="8">
        <v>44460.0</v>
      </c>
    </row>
    <row r="671">
      <c r="A671" s="2">
        <v>3.72</v>
      </c>
      <c r="B671" s="2">
        <v>228.0</v>
      </c>
      <c r="C671" s="2">
        <v>828.3</v>
      </c>
      <c r="D671" s="2">
        <v>1.29</v>
      </c>
      <c r="E671" s="2">
        <v>0.98</v>
      </c>
      <c r="F671" s="2">
        <v>49.9</v>
      </c>
      <c r="G671" s="4">
        <v>44460.84984387731</v>
      </c>
      <c r="H671" s="8">
        <v>44460.0</v>
      </c>
    </row>
    <row r="672">
      <c r="A672" s="2">
        <v>3.73</v>
      </c>
      <c r="B672" s="2">
        <v>227.9</v>
      </c>
      <c r="C672" s="2">
        <v>828.5</v>
      </c>
      <c r="D672" s="2">
        <v>1.29</v>
      </c>
      <c r="E672" s="2">
        <v>0.98</v>
      </c>
      <c r="F672" s="2">
        <v>50.0</v>
      </c>
      <c r="G672" s="4">
        <v>44460.84994652778</v>
      </c>
      <c r="H672" s="8">
        <v>44460.0</v>
      </c>
    </row>
    <row r="673">
      <c r="A673" s="2">
        <v>3.73</v>
      </c>
      <c r="B673" s="2">
        <v>227.9</v>
      </c>
      <c r="C673" s="2">
        <v>828.6</v>
      </c>
      <c r="D673" s="2">
        <v>1.29</v>
      </c>
      <c r="E673" s="2">
        <v>0.98</v>
      </c>
      <c r="F673" s="2">
        <v>50.0</v>
      </c>
      <c r="G673" s="4">
        <v>44460.85005054398</v>
      </c>
      <c r="H673" s="8">
        <v>44460.0</v>
      </c>
    </row>
    <row r="674">
      <c r="A674" s="2">
        <v>3.73</v>
      </c>
      <c r="B674" s="2">
        <v>227.9</v>
      </c>
      <c r="C674" s="2">
        <v>828.8</v>
      </c>
      <c r="D674" s="2">
        <v>1.29</v>
      </c>
      <c r="E674" s="2">
        <v>0.98</v>
      </c>
      <c r="F674" s="2">
        <v>50.0</v>
      </c>
      <c r="G674" s="4">
        <v>44460.85015684028</v>
      </c>
      <c r="H674" s="8">
        <v>44460.0</v>
      </c>
    </row>
    <row r="675">
      <c r="A675" s="2">
        <v>3.73</v>
      </c>
      <c r="B675" s="2">
        <v>227.9</v>
      </c>
      <c r="C675" s="2">
        <v>828.9</v>
      </c>
      <c r="D675" s="2">
        <v>1.3</v>
      </c>
      <c r="E675" s="2">
        <v>0.98</v>
      </c>
      <c r="F675" s="2">
        <v>50.0</v>
      </c>
      <c r="G675" s="4">
        <v>44460.85026634259</v>
      </c>
      <c r="H675" s="8">
        <v>44460.0</v>
      </c>
    </row>
    <row r="676">
      <c r="A676" s="2">
        <v>3.73</v>
      </c>
      <c r="B676" s="2">
        <v>227.9</v>
      </c>
      <c r="C676" s="2">
        <v>829.0</v>
      </c>
      <c r="D676" s="2">
        <v>1.3</v>
      </c>
      <c r="E676" s="2">
        <v>0.98</v>
      </c>
      <c r="F676" s="2">
        <v>50.0</v>
      </c>
      <c r="G676" s="4">
        <v>44460.850373657406</v>
      </c>
      <c r="H676" s="8">
        <v>44460.0</v>
      </c>
    </row>
    <row r="677">
      <c r="A677" s="2">
        <v>3.73</v>
      </c>
      <c r="B677" s="2">
        <v>228.0</v>
      </c>
      <c r="C677" s="2">
        <v>829.0</v>
      </c>
      <c r="D677" s="2">
        <v>1.3</v>
      </c>
      <c r="E677" s="2">
        <v>0.98</v>
      </c>
      <c r="F677" s="2">
        <v>50.0</v>
      </c>
      <c r="G677" s="4">
        <v>44460.850473865736</v>
      </c>
      <c r="H677" s="8">
        <v>44460.0</v>
      </c>
    </row>
    <row r="678">
      <c r="A678" s="2">
        <v>3.69</v>
      </c>
      <c r="B678" s="2">
        <v>230.4</v>
      </c>
      <c r="C678" s="2">
        <v>828.3</v>
      </c>
      <c r="D678" s="2">
        <v>1.3</v>
      </c>
      <c r="E678" s="2">
        <v>0.97</v>
      </c>
      <c r="F678" s="2">
        <v>50.0</v>
      </c>
      <c r="G678" s="4">
        <v>44460.85057417824</v>
      </c>
      <c r="H678" s="8">
        <v>44460.0</v>
      </c>
    </row>
    <row r="679">
      <c r="A679" s="2">
        <v>3.69</v>
      </c>
      <c r="B679" s="2">
        <v>230.4</v>
      </c>
      <c r="C679" s="2">
        <v>828.5</v>
      </c>
      <c r="D679" s="2">
        <v>1.3</v>
      </c>
      <c r="E679" s="2">
        <v>0.98</v>
      </c>
      <c r="F679" s="2">
        <v>50.0</v>
      </c>
      <c r="G679" s="4">
        <v>44460.85067271991</v>
      </c>
      <c r="H679" s="8">
        <v>44460.0</v>
      </c>
    </row>
    <row r="680">
      <c r="A680" s="2">
        <v>3.69</v>
      </c>
      <c r="B680" s="2">
        <v>230.4</v>
      </c>
      <c r="C680" s="2">
        <v>828.6</v>
      </c>
      <c r="D680" s="2">
        <v>1.31</v>
      </c>
      <c r="E680" s="2">
        <v>0.97</v>
      </c>
      <c r="F680" s="2">
        <v>50.0</v>
      </c>
      <c r="G680" s="4">
        <v>44460.85077056713</v>
      </c>
      <c r="H680" s="8">
        <v>44460.0</v>
      </c>
    </row>
    <row r="681">
      <c r="A681" s="2">
        <v>3.69</v>
      </c>
      <c r="B681" s="2">
        <v>230.4</v>
      </c>
      <c r="C681" s="2">
        <v>828.7</v>
      </c>
      <c r="D681" s="2">
        <v>1.31</v>
      </c>
      <c r="E681" s="2">
        <v>0.98</v>
      </c>
      <c r="F681" s="2">
        <v>50.0</v>
      </c>
      <c r="G681" s="4">
        <v>44460.850869988426</v>
      </c>
      <c r="H681" s="8">
        <v>44460.0</v>
      </c>
    </row>
    <row r="682">
      <c r="A682" s="2">
        <v>3.69</v>
      </c>
      <c r="B682" s="2">
        <v>230.5</v>
      </c>
      <c r="C682" s="2">
        <v>828.8</v>
      </c>
      <c r="D682" s="2">
        <v>1.31</v>
      </c>
      <c r="E682" s="2">
        <v>0.97</v>
      </c>
      <c r="F682" s="2">
        <v>50.0</v>
      </c>
      <c r="G682" s="4">
        <v>44460.850969074076</v>
      </c>
      <c r="H682" s="8">
        <v>44460.0</v>
      </c>
    </row>
    <row r="683">
      <c r="A683" s="2">
        <v>3.69</v>
      </c>
      <c r="B683" s="2">
        <v>230.4</v>
      </c>
      <c r="C683" s="2">
        <v>828.9</v>
      </c>
      <c r="D683" s="2">
        <v>1.31</v>
      </c>
      <c r="E683" s="2">
        <v>0.97</v>
      </c>
      <c r="F683" s="2">
        <v>50.0</v>
      </c>
      <c r="G683" s="4">
        <v>44460.8510684838</v>
      </c>
      <c r="H683" s="8">
        <v>44460.0</v>
      </c>
    </row>
    <row r="684">
      <c r="A684" s="2">
        <v>3.69</v>
      </c>
      <c r="B684" s="2">
        <v>230.5</v>
      </c>
      <c r="C684" s="2">
        <v>829.0</v>
      </c>
      <c r="D684" s="2">
        <v>1.31</v>
      </c>
      <c r="E684" s="2">
        <v>0.97</v>
      </c>
      <c r="F684" s="2">
        <v>50.0</v>
      </c>
      <c r="G684" s="4">
        <v>44460.851175289354</v>
      </c>
      <c r="H684" s="8">
        <v>44460.0</v>
      </c>
    </row>
    <row r="685">
      <c r="A685" s="2">
        <v>3.69</v>
      </c>
      <c r="B685" s="2">
        <v>230.4</v>
      </c>
      <c r="C685" s="2">
        <v>829.2</v>
      </c>
      <c r="D685" s="2">
        <v>1.32</v>
      </c>
      <c r="E685" s="2">
        <v>0.98</v>
      </c>
      <c r="F685" s="2">
        <v>50.0</v>
      </c>
      <c r="G685" s="4">
        <v>44460.8512734838</v>
      </c>
      <c r="H685" s="8">
        <v>44460.0</v>
      </c>
    </row>
    <row r="686">
      <c r="A686" s="2">
        <v>3.69</v>
      </c>
      <c r="B686" s="2">
        <v>230.5</v>
      </c>
      <c r="C686" s="2">
        <v>829.3</v>
      </c>
      <c r="D686" s="2">
        <v>1.32</v>
      </c>
      <c r="E686" s="2">
        <v>0.97</v>
      </c>
      <c r="F686" s="2">
        <v>50.0</v>
      </c>
      <c r="G686" s="4">
        <v>44460.85137121528</v>
      </c>
      <c r="H686" s="8">
        <v>44460.0</v>
      </c>
    </row>
    <row r="687">
      <c r="A687" s="2">
        <v>3.69</v>
      </c>
      <c r="B687" s="2">
        <v>230.4</v>
      </c>
      <c r="C687" s="2">
        <v>829.5</v>
      </c>
      <c r="D687" s="2">
        <v>1.32</v>
      </c>
      <c r="E687" s="2">
        <v>0.98</v>
      </c>
      <c r="F687" s="2">
        <v>50.0</v>
      </c>
      <c r="G687" s="4">
        <v>44460.851471863425</v>
      </c>
      <c r="H687" s="8">
        <v>44460.0</v>
      </c>
    </row>
    <row r="688">
      <c r="A688" s="2">
        <v>3.69</v>
      </c>
      <c r="B688" s="2">
        <v>230.4</v>
      </c>
      <c r="C688" s="2">
        <v>829.5</v>
      </c>
      <c r="D688" s="2">
        <v>1.32</v>
      </c>
      <c r="E688" s="2">
        <v>0.97</v>
      </c>
      <c r="F688" s="2">
        <v>50.0</v>
      </c>
      <c r="G688" s="4">
        <v>44460.8515830324</v>
      </c>
      <c r="H688" s="8">
        <v>44460.0</v>
      </c>
    </row>
    <row r="689">
      <c r="A689" s="2">
        <v>3.69</v>
      </c>
      <c r="B689" s="2">
        <v>230.4</v>
      </c>
      <c r="C689" s="2">
        <v>829.7</v>
      </c>
      <c r="D689" s="2">
        <v>1.32</v>
      </c>
      <c r="E689" s="2">
        <v>0.97</v>
      </c>
      <c r="F689" s="2">
        <v>50.0</v>
      </c>
      <c r="G689" s="4">
        <v>44460.85169653935</v>
      </c>
      <c r="H689" s="8">
        <v>44460.0</v>
      </c>
    </row>
    <row r="690">
      <c r="A690" s="2">
        <v>3.69</v>
      </c>
      <c r="B690" s="2">
        <v>230.4</v>
      </c>
      <c r="C690" s="2">
        <v>829.8</v>
      </c>
      <c r="D690" s="2">
        <v>1.33</v>
      </c>
      <c r="E690" s="2">
        <v>0.97</v>
      </c>
      <c r="F690" s="2">
        <v>50.0</v>
      </c>
      <c r="G690" s="4">
        <v>44460.851803854166</v>
      </c>
      <c r="H690" s="8">
        <v>44460.0</v>
      </c>
    </row>
    <row r="691">
      <c r="A691" s="2">
        <v>3.7</v>
      </c>
      <c r="B691" s="2">
        <v>230.1</v>
      </c>
      <c r="C691" s="2">
        <v>830.0</v>
      </c>
      <c r="D691" s="2">
        <v>1.33</v>
      </c>
      <c r="E691" s="2">
        <v>0.98</v>
      </c>
      <c r="F691" s="2">
        <v>50.0</v>
      </c>
      <c r="G691" s="4">
        <v>44460.851902002316</v>
      </c>
      <c r="H691" s="8">
        <v>44460.0</v>
      </c>
    </row>
    <row r="692">
      <c r="A692" s="2">
        <v>3.7</v>
      </c>
      <c r="B692" s="2">
        <v>230.1</v>
      </c>
      <c r="C692" s="2">
        <v>830.1</v>
      </c>
      <c r="D692" s="2">
        <v>1.33</v>
      </c>
      <c r="E692" s="2">
        <v>0.98</v>
      </c>
      <c r="F692" s="2">
        <v>50.0</v>
      </c>
      <c r="G692" s="4">
        <v>44460.85199879629</v>
      </c>
      <c r="H692" s="8">
        <v>44460.0</v>
      </c>
    </row>
    <row r="693">
      <c r="A693" s="2">
        <v>3.7</v>
      </c>
      <c r="B693" s="2">
        <v>230.1</v>
      </c>
      <c r="C693" s="2">
        <v>830.2</v>
      </c>
      <c r="D693" s="2">
        <v>1.33</v>
      </c>
      <c r="E693" s="2">
        <v>0.97</v>
      </c>
      <c r="F693" s="2">
        <v>50.0</v>
      </c>
      <c r="G693" s="4">
        <v>44460.852096215276</v>
      </c>
      <c r="H693" s="8">
        <v>44460.0</v>
      </c>
    </row>
    <row r="694">
      <c r="A694" s="2">
        <v>3.7</v>
      </c>
      <c r="B694" s="2">
        <v>230.1</v>
      </c>
      <c r="C694" s="2">
        <v>830.3</v>
      </c>
      <c r="D694" s="2">
        <v>1.33</v>
      </c>
      <c r="E694" s="2">
        <v>0.97</v>
      </c>
      <c r="F694" s="2">
        <v>49.9</v>
      </c>
      <c r="G694" s="4">
        <v>44460.85219925926</v>
      </c>
      <c r="H694" s="8">
        <v>44460.0</v>
      </c>
    </row>
    <row r="695">
      <c r="A695" s="2">
        <v>3.7</v>
      </c>
      <c r="B695" s="2">
        <v>230.0</v>
      </c>
      <c r="C695" s="2">
        <v>830.4</v>
      </c>
      <c r="D695" s="2">
        <v>1.34</v>
      </c>
      <c r="E695" s="2">
        <v>0.98</v>
      </c>
      <c r="F695" s="2">
        <v>49.9</v>
      </c>
      <c r="G695" s="4">
        <v>44460.85230460648</v>
      </c>
      <c r="H695" s="8">
        <v>44460.0</v>
      </c>
    </row>
    <row r="696">
      <c r="A696" s="2">
        <v>3.7</v>
      </c>
      <c r="B696" s="2">
        <v>230.0</v>
      </c>
      <c r="C696" s="2">
        <v>830.5</v>
      </c>
      <c r="D696" s="2">
        <v>1.34</v>
      </c>
      <c r="E696" s="2">
        <v>0.97</v>
      </c>
      <c r="F696" s="2">
        <v>49.9</v>
      </c>
      <c r="G696" s="4">
        <v>44460.852408101855</v>
      </c>
      <c r="H696" s="8">
        <v>44460.0</v>
      </c>
    </row>
    <row r="697">
      <c r="A697" s="2">
        <v>3.71</v>
      </c>
      <c r="B697" s="2">
        <v>229.9</v>
      </c>
      <c r="C697" s="2">
        <v>830.7</v>
      </c>
      <c r="D697" s="2">
        <v>1.34</v>
      </c>
      <c r="E697" s="2">
        <v>0.97</v>
      </c>
      <c r="F697" s="2">
        <v>49.9</v>
      </c>
      <c r="G697" s="4">
        <v>44460.85250447917</v>
      </c>
      <c r="H697" s="8">
        <v>44460.0</v>
      </c>
    </row>
    <row r="698">
      <c r="A698" s="2">
        <v>3.71</v>
      </c>
      <c r="B698" s="2">
        <v>229.9</v>
      </c>
      <c r="C698" s="2">
        <v>830.7</v>
      </c>
      <c r="D698" s="2">
        <v>1.34</v>
      </c>
      <c r="E698" s="2">
        <v>0.97</v>
      </c>
      <c r="F698" s="2">
        <v>49.9</v>
      </c>
      <c r="G698" s="4">
        <v>44460.852601481485</v>
      </c>
      <c r="H698" s="8">
        <v>44460.0</v>
      </c>
    </row>
    <row r="699">
      <c r="A699" s="2">
        <v>3.71</v>
      </c>
      <c r="B699" s="2">
        <v>229.9</v>
      </c>
      <c r="C699" s="2">
        <v>830.9</v>
      </c>
      <c r="D699" s="2">
        <v>1.34</v>
      </c>
      <c r="E699" s="2">
        <v>0.97</v>
      </c>
      <c r="F699" s="2">
        <v>49.9</v>
      </c>
      <c r="G699" s="4">
        <v>44460.85270224537</v>
      </c>
      <c r="H699" s="8">
        <v>44460.0</v>
      </c>
    </row>
    <row r="700">
      <c r="A700" s="2">
        <v>3.71</v>
      </c>
      <c r="B700" s="2">
        <v>229.9</v>
      </c>
      <c r="C700" s="2">
        <v>831.0</v>
      </c>
      <c r="D700" s="2">
        <v>1.35</v>
      </c>
      <c r="E700" s="2">
        <v>0.97</v>
      </c>
      <c r="F700" s="2">
        <v>50.0</v>
      </c>
      <c r="G700" s="4">
        <v>44460.8528100463</v>
      </c>
      <c r="H700" s="8">
        <v>44460.0</v>
      </c>
    </row>
    <row r="701">
      <c r="A701" s="2">
        <v>3.71</v>
      </c>
      <c r="B701" s="2">
        <v>229.8</v>
      </c>
      <c r="C701" s="2">
        <v>831.2</v>
      </c>
      <c r="D701" s="2">
        <v>1.35</v>
      </c>
      <c r="E701" s="2">
        <v>0.97</v>
      </c>
      <c r="F701" s="2">
        <v>50.0</v>
      </c>
      <c r="G701" s="4">
        <v>44460.85291686343</v>
      </c>
      <c r="H701" s="8">
        <v>44460.0</v>
      </c>
    </row>
    <row r="702">
      <c r="A702" s="2">
        <v>3.71</v>
      </c>
      <c r="B702" s="2">
        <v>229.8</v>
      </c>
      <c r="C702" s="2">
        <v>831.3</v>
      </c>
      <c r="D702" s="2">
        <v>1.35</v>
      </c>
      <c r="E702" s="2">
        <v>0.97</v>
      </c>
      <c r="F702" s="2">
        <v>50.0</v>
      </c>
      <c r="G702" s="4">
        <v>44460.85301568287</v>
      </c>
      <c r="H702" s="8">
        <v>44460.0</v>
      </c>
    </row>
    <row r="703">
      <c r="A703" s="2">
        <v>3.71</v>
      </c>
      <c r="B703" s="2">
        <v>229.7</v>
      </c>
      <c r="C703" s="2">
        <v>831.4</v>
      </c>
      <c r="D703" s="2">
        <v>1.35</v>
      </c>
      <c r="E703" s="2">
        <v>0.98</v>
      </c>
      <c r="F703" s="2">
        <v>50.0</v>
      </c>
      <c r="G703" s="4">
        <v>44460.85311327546</v>
      </c>
      <c r="H703" s="8">
        <v>44460.0</v>
      </c>
    </row>
    <row r="704">
      <c r="A704" s="2">
        <v>3.71</v>
      </c>
      <c r="B704" s="2">
        <v>229.8</v>
      </c>
      <c r="C704" s="2">
        <v>831.5</v>
      </c>
      <c r="D704" s="2">
        <v>1.36</v>
      </c>
      <c r="E704" s="2">
        <v>0.98</v>
      </c>
      <c r="F704" s="2">
        <v>50.0</v>
      </c>
      <c r="G704" s="4">
        <v>44460.85321236111</v>
      </c>
      <c r="H704" s="8">
        <v>44460.0</v>
      </c>
    </row>
    <row r="705">
      <c r="A705" s="2">
        <v>3.71</v>
      </c>
      <c r="B705" s="2">
        <v>229.8</v>
      </c>
      <c r="C705" s="2">
        <v>831.6</v>
      </c>
      <c r="D705" s="2">
        <v>1.36</v>
      </c>
      <c r="E705" s="2">
        <v>0.97</v>
      </c>
      <c r="F705" s="2">
        <v>50.0</v>
      </c>
      <c r="G705" s="4">
        <v>44460.853308171296</v>
      </c>
      <c r="H705" s="8">
        <v>44460.0</v>
      </c>
    </row>
    <row r="706">
      <c r="A706" s="2">
        <v>3.71</v>
      </c>
      <c r="B706" s="2">
        <v>229.9</v>
      </c>
      <c r="C706" s="2">
        <v>831.7</v>
      </c>
      <c r="D706" s="2">
        <v>1.36</v>
      </c>
      <c r="E706" s="2">
        <v>0.97</v>
      </c>
      <c r="F706" s="2">
        <v>50.0</v>
      </c>
      <c r="G706" s="4">
        <v>44460.853405092595</v>
      </c>
      <c r="H706" s="8">
        <v>44460.0</v>
      </c>
    </row>
    <row r="707">
      <c r="A707" s="2">
        <v>3.71</v>
      </c>
      <c r="B707" s="2">
        <v>229.9</v>
      </c>
      <c r="C707" s="2">
        <v>831.8</v>
      </c>
      <c r="D707" s="2">
        <v>1.36</v>
      </c>
      <c r="E707" s="2">
        <v>0.97</v>
      </c>
      <c r="F707" s="2">
        <v>50.0</v>
      </c>
      <c r="G707" s="4">
        <v>44460.85350618056</v>
      </c>
      <c r="H707" s="8">
        <v>44460.0</v>
      </c>
    </row>
    <row r="708">
      <c r="A708" s="2">
        <v>3.71</v>
      </c>
      <c r="B708" s="2">
        <v>230.0</v>
      </c>
      <c r="C708" s="2">
        <v>831.9</v>
      </c>
      <c r="D708" s="2">
        <v>1.36</v>
      </c>
      <c r="E708" s="2">
        <v>0.97</v>
      </c>
      <c r="F708" s="2">
        <v>50.0</v>
      </c>
      <c r="G708" s="4">
        <v>44460.85360983796</v>
      </c>
      <c r="H708" s="8">
        <v>44460.0</v>
      </c>
    </row>
    <row r="709">
      <c r="A709" s="2">
        <v>3.71</v>
      </c>
      <c r="B709" s="2">
        <v>230.1</v>
      </c>
      <c r="C709" s="2">
        <v>832.0</v>
      </c>
      <c r="D709" s="2">
        <v>1.37</v>
      </c>
      <c r="E709" s="2">
        <v>0.97</v>
      </c>
      <c r="F709" s="2">
        <v>50.0</v>
      </c>
      <c r="G709" s="4">
        <v>44460.85370708333</v>
      </c>
      <c r="H709" s="8">
        <v>44460.0</v>
      </c>
    </row>
    <row r="710">
      <c r="A710" s="2">
        <v>3.71</v>
      </c>
      <c r="B710" s="2">
        <v>230.3</v>
      </c>
      <c r="C710" s="2">
        <v>832.1</v>
      </c>
      <c r="D710" s="2">
        <v>1.37</v>
      </c>
      <c r="E710" s="2">
        <v>0.97</v>
      </c>
      <c r="F710" s="2">
        <v>50.0</v>
      </c>
      <c r="G710" s="4">
        <v>44460.853806018524</v>
      </c>
      <c r="H710" s="8">
        <v>44460.0</v>
      </c>
    </row>
    <row r="711">
      <c r="A711" s="2">
        <v>3.71</v>
      </c>
      <c r="B711" s="2">
        <v>230.3</v>
      </c>
      <c r="C711" s="2">
        <v>832.2</v>
      </c>
      <c r="D711" s="2">
        <v>1.37</v>
      </c>
      <c r="E711" s="2">
        <v>0.97</v>
      </c>
      <c r="F711" s="2">
        <v>50.0</v>
      </c>
      <c r="G711" s="4">
        <v>44460.85390299768</v>
      </c>
      <c r="H711" s="8">
        <v>44460.0</v>
      </c>
    </row>
    <row r="712">
      <c r="A712" s="2">
        <v>3.71</v>
      </c>
      <c r="B712" s="2">
        <v>230.2</v>
      </c>
      <c r="C712" s="2">
        <v>832.4</v>
      </c>
      <c r="D712" s="2">
        <v>1.37</v>
      </c>
      <c r="E712" s="2">
        <v>0.97</v>
      </c>
      <c r="F712" s="2">
        <v>50.0</v>
      </c>
      <c r="G712" s="4">
        <v>44460.85400851852</v>
      </c>
      <c r="H712" s="8">
        <v>44460.0</v>
      </c>
    </row>
    <row r="713">
      <c r="A713" s="2">
        <v>3.71</v>
      </c>
      <c r="B713" s="2">
        <v>230.2</v>
      </c>
      <c r="C713" s="2">
        <v>832.5</v>
      </c>
      <c r="D713" s="2">
        <v>1.37</v>
      </c>
      <c r="E713" s="2">
        <v>0.97</v>
      </c>
      <c r="F713" s="2">
        <v>50.0</v>
      </c>
      <c r="G713" s="4">
        <v>44460.85411443287</v>
      </c>
      <c r="H713" s="8">
        <v>44460.0</v>
      </c>
    </row>
    <row r="714">
      <c r="A714" s="2">
        <v>3.71</v>
      </c>
      <c r="B714" s="2">
        <v>230.1</v>
      </c>
      <c r="C714" s="2">
        <v>832.6</v>
      </c>
      <c r="D714" s="2">
        <v>1.38</v>
      </c>
      <c r="E714" s="2">
        <v>0.97</v>
      </c>
      <c r="F714" s="2">
        <v>50.0</v>
      </c>
      <c r="G714" s="4">
        <v>44460.854218611115</v>
      </c>
      <c r="H714" s="8">
        <v>44460.0</v>
      </c>
    </row>
    <row r="715">
      <c r="A715" s="2">
        <v>3.71</v>
      </c>
      <c r="B715" s="2">
        <v>230.1</v>
      </c>
      <c r="C715" s="2">
        <v>832.7</v>
      </c>
      <c r="D715" s="2">
        <v>1.38</v>
      </c>
      <c r="E715" s="2">
        <v>0.98</v>
      </c>
      <c r="F715" s="2">
        <v>49.9</v>
      </c>
      <c r="G715" s="4">
        <v>44460.85434978009</v>
      </c>
      <c r="H715" s="8">
        <v>44460.0</v>
      </c>
    </row>
    <row r="716">
      <c r="A716" s="2">
        <v>3.71</v>
      </c>
      <c r="B716" s="2">
        <v>230.2</v>
      </c>
      <c r="C716" s="2">
        <v>832.9</v>
      </c>
      <c r="D716" s="2">
        <v>1.38</v>
      </c>
      <c r="E716" s="2">
        <v>0.97</v>
      </c>
      <c r="F716" s="2">
        <v>50.0</v>
      </c>
      <c r="G716" s="4">
        <v>44460.854452789354</v>
      </c>
      <c r="H716" s="8">
        <v>44460.0</v>
      </c>
    </row>
    <row r="717">
      <c r="A717" s="2">
        <v>3.71</v>
      </c>
      <c r="B717" s="2">
        <v>230.1</v>
      </c>
      <c r="C717" s="2">
        <v>833.0</v>
      </c>
      <c r="D717" s="2">
        <v>1.38</v>
      </c>
      <c r="E717" s="2">
        <v>0.97</v>
      </c>
      <c r="F717" s="2">
        <v>50.0</v>
      </c>
      <c r="G717" s="4">
        <v>44460.854554942125</v>
      </c>
      <c r="H717" s="8">
        <v>44460.0</v>
      </c>
    </row>
    <row r="718">
      <c r="A718" s="2">
        <v>3.71</v>
      </c>
      <c r="B718" s="2">
        <v>230.0</v>
      </c>
      <c r="C718" s="2">
        <v>833.1</v>
      </c>
      <c r="D718" s="2">
        <v>1.38</v>
      </c>
      <c r="E718" s="2">
        <v>0.98</v>
      </c>
      <c r="F718" s="2">
        <v>49.9</v>
      </c>
      <c r="G718" s="4">
        <v>44460.85466041666</v>
      </c>
      <c r="H718" s="8">
        <v>44460.0</v>
      </c>
    </row>
    <row r="719">
      <c r="A719" s="2">
        <v>3.72</v>
      </c>
      <c r="B719" s="2">
        <v>230.0</v>
      </c>
      <c r="C719" s="2">
        <v>833.3</v>
      </c>
      <c r="D719" s="2">
        <v>1.39</v>
      </c>
      <c r="E719" s="2">
        <v>0.97</v>
      </c>
      <c r="F719" s="2">
        <v>50.0</v>
      </c>
      <c r="G719" s="4">
        <v>44460.854767013894</v>
      </c>
      <c r="H719" s="8">
        <v>44460.0</v>
      </c>
    </row>
    <row r="720">
      <c r="A720" s="2">
        <v>3.72</v>
      </c>
      <c r="B720" s="2">
        <v>230.0</v>
      </c>
      <c r="C720" s="2">
        <v>833.4</v>
      </c>
      <c r="D720" s="2">
        <v>1.39</v>
      </c>
      <c r="E720" s="2">
        <v>0.98</v>
      </c>
      <c r="F720" s="2">
        <v>50.0</v>
      </c>
      <c r="G720" s="4">
        <v>44460.854869375005</v>
      </c>
      <c r="H720" s="8">
        <v>44460.0</v>
      </c>
    </row>
    <row r="721">
      <c r="A721" s="2">
        <v>3.72</v>
      </c>
      <c r="B721" s="2">
        <v>230.1</v>
      </c>
      <c r="C721" s="2">
        <v>833.6</v>
      </c>
      <c r="D721" s="2">
        <v>1.39</v>
      </c>
      <c r="E721" s="2">
        <v>0.97</v>
      </c>
      <c r="F721" s="2">
        <v>50.0</v>
      </c>
      <c r="G721" s="4">
        <v>44460.85496887732</v>
      </c>
      <c r="H721" s="8">
        <v>44460.0</v>
      </c>
    </row>
    <row r="722">
      <c r="A722" s="2">
        <v>3.72</v>
      </c>
      <c r="B722" s="2">
        <v>230.1</v>
      </c>
      <c r="C722" s="2">
        <v>833.6</v>
      </c>
      <c r="D722" s="2">
        <v>1.39</v>
      </c>
      <c r="E722" s="2">
        <v>0.97</v>
      </c>
      <c r="F722" s="2">
        <v>50.0</v>
      </c>
      <c r="G722" s="4">
        <v>44460.85506574074</v>
      </c>
      <c r="H722" s="8">
        <v>44460.0</v>
      </c>
    </row>
    <row r="723">
      <c r="A723" s="2">
        <v>3.71</v>
      </c>
      <c r="B723" s="2">
        <v>230.2</v>
      </c>
      <c r="C723" s="2">
        <v>833.6</v>
      </c>
      <c r="D723" s="2">
        <v>1.39</v>
      </c>
      <c r="E723" s="2">
        <v>0.97</v>
      </c>
      <c r="F723" s="2">
        <v>50.0</v>
      </c>
      <c r="G723" s="4">
        <v>44460.855167581016</v>
      </c>
      <c r="H723" s="8">
        <v>44460.0</v>
      </c>
    </row>
    <row r="724">
      <c r="A724" s="2">
        <v>3.72</v>
      </c>
      <c r="B724" s="2">
        <v>230.1</v>
      </c>
      <c r="C724" s="2">
        <v>833.7</v>
      </c>
      <c r="D724" s="2">
        <v>1.4</v>
      </c>
      <c r="E724" s="2">
        <v>0.98</v>
      </c>
      <c r="F724" s="2">
        <v>50.0</v>
      </c>
      <c r="G724" s="4">
        <v>44460.855268263884</v>
      </c>
      <c r="H724" s="8">
        <v>44460.0</v>
      </c>
    </row>
    <row r="725">
      <c r="A725" s="2">
        <v>3.72</v>
      </c>
      <c r="B725" s="2">
        <v>230.1</v>
      </c>
      <c r="C725" s="2">
        <v>834.0</v>
      </c>
      <c r="D725" s="2">
        <v>1.4</v>
      </c>
      <c r="E725" s="2">
        <v>0.98</v>
      </c>
      <c r="F725" s="2">
        <v>50.0</v>
      </c>
      <c r="G725" s="4">
        <v>44460.855436921294</v>
      </c>
      <c r="H725" s="8">
        <v>44460.0</v>
      </c>
    </row>
    <row r="726">
      <c r="A726" s="2">
        <v>3.72</v>
      </c>
      <c r="B726" s="2">
        <v>230.1</v>
      </c>
      <c r="C726" s="2">
        <v>834.0</v>
      </c>
      <c r="D726" s="2">
        <v>1.4</v>
      </c>
      <c r="E726" s="2">
        <v>0.98</v>
      </c>
      <c r="F726" s="2">
        <v>50.0</v>
      </c>
      <c r="G726" s="4">
        <v>44460.855477881945</v>
      </c>
      <c r="H726" s="8">
        <v>44460.0</v>
      </c>
    </row>
    <row r="727">
      <c r="A727" s="2">
        <v>3.72</v>
      </c>
      <c r="B727" s="2">
        <v>230.2</v>
      </c>
      <c r="C727" s="2">
        <v>834.2</v>
      </c>
      <c r="D727" s="2">
        <v>1.4</v>
      </c>
      <c r="E727" s="2">
        <v>0.97</v>
      </c>
      <c r="F727" s="2">
        <v>50.0</v>
      </c>
      <c r="G727" s="4">
        <v>44460.8556025</v>
      </c>
      <c r="H727" s="8">
        <v>44460.0</v>
      </c>
    </row>
    <row r="728">
      <c r="A728" s="2">
        <v>3.72</v>
      </c>
      <c r="B728" s="2">
        <v>230.2</v>
      </c>
      <c r="C728" s="2">
        <v>834.3</v>
      </c>
      <c r="D728" s="2">
        <v>1.4</v>
      </c>
      <c r="E728" s="2">
        <v>0.98</v>
      </c>
      <c r="F728" s="2">
        <v>50.0</v>
      </c>
      <c r="G728" s="4">
        <v>44460.85570868055</v>
      </c>
      <c r="H728" s="8">
        <v>44460.0</v>
      </c>
    </row>
    <row r="729">
      <c r="A729" s="2">
        <v>3.72</v>
      </c>
      <c r="B729" s="2">
        <v>230.3</v>
      </c>
      <c r="C729" s="2">
        <v>834.4</v>
      </c>
      <c r="D729" s="2">
        <v>1.41</v>
      </c>
      <c r="E729" s="2">
        <v>0.97</v>
      </c>
      <c r="F729" s="2">
        <v>50.0</v>
      </c>
      <c r="G729" s="4">
        <v>44460.85581113426</v>
      </c>
      <c r="H729" s="8">
        <v>44460.0</v>
      </c>
    </row>
    <row r="730">
      <c r="A730" s="2">
        <v>3.72</v>
      </c>
      <c r="B730" s="2">
        <v>230.3</v>
      </c>
      <c r="C730" s="2">
        <v>834.5</v>
      </c>
      <c r="D730" s="2">
        <v>1.41</v>
      </c>
      <c r="E730" s="2">
        <v>0.97</v>
      </c>
      <c r="F730" s="2">
        <v>50.0</v>
      </c>
      <c r="G730" s="4">
        <v>44460.85591131945</v>
      </c>
      <c r="H730" s="8">
        <v>44460.0</v>
      </c>
    </row>
    <row r="731">
      <c r="A731" s="2">
        <v>3.72</v>
      </c>
      <c r="B731" s="2">
        <v>230.2</v>
      </c>
      <c r="C731" s="2">
        <v>834.6</v>
      </c>
      <c r="D731" s="2">
        <v>1.41</v>
      </c>
      <c r="E731" s="2">
        <v>0.97</v>
      </c>
      <c r="F731" s="2">
        <v>50.0</v>
      </c>
      <c r="G731" s="4">
        <v>44460.85601146991</v>
      </c>
      <c r="H731" s="8">
        <v>44460.0</v>
      </c>
    </row>
    <row r="732">
      <c r="A732" s="2">
        <v>3.72</v>
      </c>
      <c r="B732" s="2">
        <v>230.3</v>
      </c>
      <c r="C732" s="2">
        <v>834.7</v>
      </c>
      <c r="D732" s="2">
        <v>1.41</v>
      </c>
      <c r="E732" s="2">
        <v>0.98</v>
      </c>
      <c r="F732" s="2">
        <v>50.0</v>
      </c>
      <c r="G732" s="4">
        <v>44460.85611434028</v>
      </c>
      <c r="H732" s="8">
        <v>44460.0</v>
      </c>
    </row>
    <row r="733">
      <c r="A733" s="2">
        <v>3.72</v>
      </c>
      <c r="B733" s="2">
        <v>230.4</v>
      </c>
      <c r="C733" s="2">
        <v>834.8</v>
      </c>
      <c r="D733" s="2">
        <v>1.41</v>
      </c>
      <c r="E733" s="2">
        <v>0.97</v>
      </c>
      <c r="F733" s="2">
        <v>50.0</v>
      </c>
      <c r="G733" s="4">
        <v>44460.85621563657</v>
      </c>
      <c r="H733" s="8">
        <v>44460.0</v>
      </c>
    </row>
    <row r="734">
      <c r="A734" s="2">
        <v>3.72</v>
      </c>
      <c r="B734" s="2">
        <v>230.4</v>
      </c>
      <c r="C734" s="2">
        <v>834.9</v>
      </c>
      <c r="D734" s="2">
        <v>1.42</v>
      </c>
      <c r="E734" s="2">
        <v>0.97</v>
      </c>
      <c r="F734" s="2">
        <v>50.0</v>
      </c>
      <c r="G734" s="4">
        <v>44460.85631855324</v>
      </c>
      <c r="H734" s="8">
        <v>44460.0</v>
      </c>
    </row>
    <row r="735">
      <c r="A735" s="2">
        <v>3.72</v>
      </c>
      <c r="B735" s="2">
        <v>230.4</v>
      </c>
      <c r="C735" s="2">
        <v>835.1</v>
      </c>
      <c r="D735" s="2">
        <v>1.42</v>
      </c>
      <c r="E735" s="2">
        <v>0.98</v>
      </c>
      <c r="F735" s="2">
        <v>50.0</v>
      </c>
      <c r="G735" s="4">
        <v>44460.85641966436</v>
      </c>
      <c r="H735" s="8">
        <v>44460.0</v>
      </c>
    </row>
    <row r="736">
      <c r="A736" s="2">
        <v>3.72</v>
      </c>
      <c r="B736" s="2">
        <v>230.5</v>
      </c>
      <c r="C736" s="2">
        <v>835.1</v>
      </c>
      <c r="D736" s="2">
        <v>1.42</v>
      </c>
      <c r="E736" s="2">
        <v>0.97</v>
      </c>
      <c r="F736" s="2">
        <v>50.0</v>
      </c>
      <c r="G736" s="4">
        <v>44460.856523124996</v>
      </c>
      <c r="H736" s="8">
        <v>44460.0</v>
      </c>
    </row>
    <row r="737">
      <c r="A737" s="2">
        <v>3.72</v>
      </c>
      <c r="B737" s="2">
        <v>230.6</v>
      </c>
      <c r="C737" s="2">
        <v>835.2</v>
      </c>
      <c r="D737" s="2">
        <v>1.42</v>
      </c>
      <c r="E737" s="2">
        <v>0.97</v>
      </c>
      <c r="F737" s="2">
        <v>50.0</v>
      </c>
      <c r="G737" s="4">
        <v>44460.85662614583</v>
      </c>
      <c r="H737" s="8">
        <v>44460.0</v>
      </c>
    </row>
    <row r="738">
      <c r="A738" s="2">
        <v>3.72</v>
      </c>
      <c r="B738" s="2">
        <v>230.4</v>
      </c>
      <c r="C738" s="2">
        <v>835.4</v>
      </c>
      <c r="D738" s="2">
        <v>1.42</v>
      </c>
      <c r="E738" s="2">
        <v>0.97</v>
      </c>
      <c r="F738" s="2">
        <v>50.0</v>
      </c>
      <c r="G738" s="4">
        <v>44460.85673211806</v>
      </c>
      <c r="H738" s="8">
        <v>44460.0</v>
      </c>
    </row>
    <row r="739">
      <c r="A739" s="2">
        <v>3.72</v>
      </c>
      <c r="B739" s="2">
        <v>230.5</v>
      </c>
      <c r="C739" s="2">
        <v>835.5</v>
      </c>
      <c r="D739" s="2">
        <v>1.43</v>
      </c>
      <c r="E739" s="2">
        <v>0.97</v>
      </c>
      <c r="F739" s="2">
        <v>50.0</v>
      </c>
      <c r="G739" s="4">
        <v>44460.856841458335</v>
      </c>
      <c r="H739" s="8">
        <v>44460.0</v>
      </c>
    </row>
    <row r="740">
      <c r="A740" s="2">
        <v>3.72</v>
      </c>
      <c r="B740" s="2">
        <v>230.5</v>
      </c>
      <c r="C740" s="2">
        <v>835.6</v>
      </c>
      <c r="D740" s="2">
        <v>1.43</v>
      </c>
      <c r="E740" s="2">
        <v>0.98</v>
      </c>
      <c r="F740" s="2">
        <v>50.0</v>
      </c>
      <c r="G740" s="4">
        <v>44460.856954664356</v>
      </c>
      <c r="H740" s="8">
        <v>44460.0</v>
      </c>
    </row>
    <row r="741">
      <c r="A741" s="2">
        <v>3.72</v>
      </c>
      <c r="B741" s="2">
        <v>230.4</v>
      </c>
      <c r="C741" s="2">
        <v>835.8</v>
      </c>
      <c r="D741" s="2">
        <v>1.43</v>
      </c>
      <c r="E741" s="2">
        <v>0.97</v>
      </c>
      <c r="F741" s="2">
        <v>50.0</v>
      </c>
      <c r="G741" s="4">
        <v>44460.85706722223</v>
      </c>
      <c r="H741" s="8">
        <v>44460.0</v>
      </c>
    </row>
    <row r="742">
      <c r="A742" s="2">
        <v>3.72</v>
      </c>
      <c r="B742" s="2">
        <v>230.4</v>
      </c>
      <c r="C742" s="2">
        <v>835.9</v>
      </c>
      <c r="D742" s="2">
        <v>1.43</v>
      </c>
      <c r="E742" s="2">
        <v>0.98</v>
      </c>
      <c r="F742" s="2">
        <v>50.0</v>
      </c>
      <c r="G742" s="4">
        <v>44460.85716954861</v>
      </c>
      <c r="H742" s="8">
        <v>44460.0</v>
      </c>
    </row>
    <row r="743">
      <c r="A743" s="2">
        <v>3.72</v>
      </c>
      <c r="B743" s="2">
        <v>230.4</v>
      </c>
      <c r="C743" s="2">
        <v>836.0</v>
      </c>
      <c r="D743" s="2">
        <v>1.44</v>
      </c>
      <c r="E743" s="2">
        <v>0.97</v>
      </c>
      <c r="F743" s="2">
        <v>50.0</v>
      </c>
      <c r="G743" s="4">
        <v>44460.857289293985</v>
      </c>
      <c r="H743" s="8">
        <v>44460.0</v>
      </c>
    </row>
    <row r="744">
      <c r="A744" s="2">
        <v>3.72</v>
      </c>
      <c r="B744" s="2">
        <v>230.4</v>
      </c>
      <c r="C744" s="2">
        <v>836.2</v>
      </c>
      <c r="D744" s="2">
        <v>1.44</v>
      </c>
      <c r="E744" s="2">
        <v>0.97</v>
      </c>
      <c r="F744" s="2">
        <v>50.0</v>
      </c>
      <c r="G744" s="4">
        <v>44460.85739875</v>
      </c>
      <c r="H744" s="8">
        <v>44460.0</v>
      </c>
    </row>
    <row r="745">
      <c r="A745" s="2">
        <v>3.72</v>
      </c>
      <c r="B745" s="2">
        <v>230.5</v>
      </c>
      <c r="C745" s="2">
        <v>836.3</v>
      </c>
      <c r="D745" s="2">
        <v>1.44</v>
      </c>
      <c r="E745" s="2">
        <v>0.97</v>
      </c>
      <c r="F745" s="2">
        <v>50.0</v>
      </c>
      <c r="G745" s="4">
        <v>44460.85750702546</v>
      </c>
      <c r="H745" s="8">
        <v>44460.0</v>
      </c>
    </row>
    <row r="746">
      <c r="A746" s="2">
        <v>3.72</v>
      </c>
      <c r="B746" s="2">
        <v>230.3</v>
      </c>
      <c r="C746" s="2">
        <v>836.4</v>
      </c>
      <c r="D746" s="2">
        <v>1.44</v>
      </c>
      <c r="E746" s="2">
        <v>0.97</v>
      </c>
      <c r="F746" s="2">
        <v>50.0</v>
      </c>
      <c r="G746" s="4">
        <v>44460.85760560185</v>
      </c>
      <c r="H746" s="8">
        <v>44460.0</v>
      </c>
    </row>
    <row r="747">
      <c r="A747" s="2">
        <v>3.73</v>
      </c>
      <c r="B747" s="2">
        <v>230.3</v>
      </c>
      <c r="C747" s="2">
        <v>836.5</v>
      </c>
      <c r="D747" s="2">
        <v>1.45</v>
      </c>
      <c r="E747" s="2">
        <v>0.97</v>
      </c>
      <c r="F747" s="2">
        <v>50.0</v>
      </c>
      <c r="G747" s="4">
        <v>44460.85770876157</v>
      </c>
      <c r="H747" s="8">
        <v>44460.0</v>
      </c>
    </row>
    <row r="748">
      <c r="A748" s="2">
        <v>3.72</v>
      </c>
      <c r="B748" s="2">
        <v>230.4</v>
      </c>
      <c r="C748" s="2">
        <v>836.7</v>
      </c>
      <c r="D748" s="2">
        <v>1.45</v>
      </c>
      <c r="E748" s="2">
        <v>0.97</v>
      </c>
      <c r="F748" s="2">
        <v>50.0</v>
      </c>
      <c r="G748" s="4">
        <v>44460.85780967593</v>
      </c>
      <c r="H748" s="8">
        <v>44460.0</v>
      </c>
    </row>
    <row r="749">
      <c r="A749" s="2">
        <v>3.73</v>
      </c>
      <c r="B749" s="2">
        <v>230.3</v>
      </c>
      <c r="C749" s="2">
        <v>836.7</v>
      </c>
      <c r="D749" s="2">
        <v>1.45</v>
      </c>
      <c r="E749" s="2">
        <v>0.97</v>
      </c>
      <c r="F749" s="2">
        <v>50.0</v>
      </c>
      <c r="G749" s="4">
        <v>44460.85790765047</v>
      </c>
      <c r="H749" s="8">
        <v>44460.0</v>
      </c>
    </row>
    <row r="750">
      <c r="A750" s="2">
        <v>3.73</v>
      </c>
      <c r="B750" s="2">
        <v>230.3</v>
      </c>
      <c r="C750" s="2">
        <v>836.8</v>
      </c>
      <c r="D750" s="2">
        <v>1.45</v>
      </c>
      <c r="E750" s="2">
        <v>0.97</v>
      </c>
      <c r="F750" s="2">
        <v>50.0</v>
      </c>
      <c r="G750" s="4">
        <v>44460.8580134838</v>
      </c>
      <c r="H750" s="8">
        <v>44460.0</v>
      </c>
    </row>
    <row r="751">
      <c r="A751" s="2">
        <v>3.73</v>
      </c>
      <c r="B751" s="2">
        <v>230.2</v>
      </c>
      <c r="C751" s="2">
        <v>837.0</v>
      </c>
      <c r="D751" s="2">
        <v>1.45</v>
      </c>
      <c r="E751" s="2">
        <v>0.98</v>
      </c>
      <c r="F751" s="2">
        <v>50.0</v>
      </c>
      <c r="G751" s="4">
        <v>44460.85811796296</v>
      </c>
      <c r="H751" s="8">
        <v>44460.0</v>
      </c>
    </row>
    <row r="752">
      <c r="A752" s="2">
        <v>3.73</v>
      </c>
      <c r="B752" s="2">
        <v>230.3</v>
      </c>
      <c r="C752" s="2">
        <v>837.0</v>
      </c>
      <c r="D752" s="2">
        <v>1.46</v>
      </c>
      <c r="E752" s="2">
        <v>0.97</v>
      </c>
      <c r="F752" s="2">
        <v>50.0</v>
      </c>
      <c r="G752" s="4">
        <v>44460.858213900465</v>
      </c>
      <c r="H752" s="8">
        <v>44460.0</v>
      </c>
    </row>
    <row r="753">
      <c r="A753" s="2">
        <v>3.73</v>
      </c>
      <c r="B753" s="2">
        <v>230.4</v>
      </c>
      <c r="C753" s="2">
        <v>837.2</v>
      </c>
      <c r="D753" s="2">
        <v>1.46</v>
      </c>
      <c r="E753" s="2">
        <v>0.97</v>
      </c>
      <c r="F753" s="2">
        <v>50.0</v>
      </c>
      <c r="G753" s="4">
        <v>44460.858311828706</v>
      </c>
      <c r="H753" s="8">
        <v>44460.0</v>
      </c>
    </row>
    <row r="754">
      <c r="A754" s="2">
        <v>3.72</v>
      </c>
      <c r="B754" s="2">
        <v>230.5</v>
      </c>
      <c r="C754" s="2">
        <v>837.3</v>
      </c>
      <c r="D754" s="2">
        <v>1.46</v>
      </c>
      <c r="E754" s="2">
        <v>0.98</v>
      </c>
      <c r="F754" s="2">
        <v>50.0</v>
      </c>
      <c r="G754" s="4">
        <v>44460.858410416666</v>
      </c>
      <c r="H754" s="8">
        <v>44460.0</v>
      </c>
    </row>
    <row r="755">
      <c r="A755" s="2">
        <v>3.73</v>
      </c>
      <c r="B755" s="2">
        <v>230.3</v>
      </c>
      <c r="C755" s="2">
        <v>837.4</v>
      </c>
      <c r="D755" s="2">
        <v>1.46</v>
      </c>
      <c r="E755" s="2">
        <v>0.98</v>
      </c>
      <c r="F755" s="2">
        <v>50.0</v>
      </c>
      <c r="G755" s="4">
        <v>44460.85851414352</v>
      </c>
      <c r="H755" s="8">
        <v>44460.0</v>
      </c>
    </row>
    <row r="756">
      <c r="A756" s="2">
        <v>3.73</v>
      </c>
      <c r="B756" s="2">
        <v>230.2</v>
      </c>
      <c r="C756" s="2">
        <v>837.6</v>
      </c>
      <c r="D756" s="2">
        <v>1.46</v>
      </c>
      <c r="E756" s="2">
        <v>0.97</v>
      </c>
      <c r="F756" s="2">
        <v>50.0</v>
      </c>
      <c r="G756" s="4">
        <v>44460.85861631944</v>
      </c>
      <c r="H756" s="8">
        <v>44460.0</v>
      </c>
    </row>
    <row r="757">
      <c r="A757" s="2">
        <v>3.73</v>
      </c>
      <c r="B757" s="2">
        <v>230.2</v>
      </c>
      <c r="C757" s="2">
        <v>837.7</v>
      </c>
      <c r="D757" s="2">
        <v>1.47</v>
      </c>
      <c r="E757" s="2">
        <v>0.97</v>
      </c>
      <c r="F757" s="2">
        <v>50.0</v>
      </c>
      <c r="G757" s="4">
        <v>44460.85871792824</v>
      </c>
      <c r="H757" s="8">
        <v>44460.0</v>
      </c>
    </row>
    <row r="758">
      <c r="A758" s="2">
        <v>3.73</v>
      </c>
      <c r="B758" s="2">
        <v>230.3</v>
      </c>
      <c r="C758" s="2">
        <v>837.9</v>
      </c>
      <c r="D758" s="2">
        <v>1.47</v>
      </c>
      <c r="E758" s="2">
        <v>0.97</v>
      </c>
      <c r="F758" s="2">
        <v>50.0</v>
      </c>
      <c r="G758" s="4">
        <v>44460.858822291666</v>
      </c>
      <c r="H758" s="8">
        <v>44460.0</v>
      </c>
    </row>
    <row r="759">
      <c r="A759" s="2">
        <v>3.73</v>
      </c>
      <c r="B759" s="2">
        <v>230.2</v>
      </c>
      <c r="C759" s="2">
        <v>837.9</v>
      </c>
      <c r="D759" s="2">
        <v>1.47</v>
      </c>
      <c r="E759" s="2">
        <v>0.98</v>
      </c>
      <c r="F759" s="2">
        <v>50.0</v>
      </c>
      <c r="G759" s="4">
        <v>44460.85892780093</v>
      </c>
      <c r="H759" s="8">
        <v>44460.0</v>
      </c>
    </row>
    <row r="760">
      <c r="A760" s="2">
        <v>3.73</v>
      </c>
      <c r="B760" s="2">
        <v>230.4</v>
      </c>
      <c r="C760" s="2">
        <v>838.0</v>
      </c>
      <c r="D760" s="2">
        <v>1.47</v>
      </c>
      <c r="E760" s="2">
        <v>0.97</v>
      </c>
      <c r="F760" s="2">
        <v>50.0</v>
      </c>
      <c r="G760" s="4">
        <v>44460.85903244213</v>
      </c>
      <c r="H760" s="8">
        <v>44460.0</v>
      </c>
    </row>
    <row r="761">
      <c r="A761" s="2">
        <v>3.73</v>
      </c>
      <c r="B761" s="2">
        <v>230.5</v>
      </c>
      <c r="C761" s="2">
        <v>838.1</v>
      </c>
      <c r="D761" s="2">
        <v>1.47</v>
      </c>
      <c r="E761" s="2">
        <v>0.97</v>
      </c>
      <c r="F761" s="2">
        <v>50.0</v>
      </c>
      <c r="G761" s="4">
        <v>44460.85914428241</v>
      </c>
      <c r="H761" s="8">
        <v>44460.0</v>
      </c>
    </row>
    <row r="762">
      <c r="A762" s="2">
        <v>3.73</v>
      </c>
      <c r="B762" s="2">
        <v>230.5</v>
      </c>
      <c r="C762" s="2">
        <v>838.2</v>
      </c>
      <c r="D762" s="2">
        <v>1.48</v>
      </c>
      <c r="E762" s="2">
        <v>0.97</v>
      </c>
      <c r="F762" s="2">
        <v>50.0</v>
      </c>
      <c r="G762" s="4">
        <v>44460.85925466435</v>
      </c>
      <c r="H762" s="8">
        <v>44460.0</v>
      </c>
    </row>
    <row r="763">
      <c r="A763" s="2">
        <v>3.73</v>
      </c>
      <c r="B763" s="2">
        <v>230.5</v>
      </c>
      <c r="C763" s="2">
        <v>838.3</v>
      </c>
      <c r="D763" s="2">
        <v>1.48</v>
      </c>
      <c r="E763" s="2">
        <v>0.97</v>
      </c>
      <c r="F763" s="2">
        <v>50.0</v>
      </c>
      <c r="G763" s="4">
        <v>44460.85936122685</v>
      </c>
      <c r="H763" s="8">
        <v>44460.0</v>
      </c>
    </row>
    <row r="764">
      <c r="A764" s="2">
        <v>3.73</v>
      </c>
      <c r="B764" s="2">
        <v>230.7</v>
      </c>
      <c r="C764" s="2">
        <v>838.5</v>
      </c>
      <c r="D764" s="2">
        <v>1.48</v>
      </c>
      <c r="E764" s="2">
        <v>0.97</v>
      </c>
      <c r="F764" s="2">
        <v>50.0</v>
      </c>
      <c r="G764" s="4">
        <v>44460.85945942129</v>
      </c>
      <c r="H764" s="8">
        <v>44460.0</v>
      </c>
    </row>
    <row r="765">
      <c r="A765" s="2">
        <v>3.73</v>
      </c>
      <c r="B765" s="2">
        <v>230.7</v>
      </c>
      <c r="C765" s="2">
        <v>838.6</v>
      </c>
      <c r="D765" s="2">
        <v>1.48</v>
      </c>
      <c r="E765" s="2">
        <v>0.98</v>
      </c>
      <c r="F765" s="2">
        <v>50.0</v>
      </c>
      <c r="G765" s="4">
        <v>44460.85955833334</v>
      </c>
      <c r="H765" s="8">
        <v>44460.0</v>
      </c>
    </row>
    <row r="766">
      <c r="A766" s="2">
        <v>3.73</v>
      </c>
      <c r="B766" s="2">
        <v>230.5</v>
      </c>
      <c r="C766" s="2">
        <v>838.8</v>
      </c>
      <c r="D766" s="2">
        <v>1.48</v>
      </c>
      <c r="E766" s="2">
        <v>0.97</v>
      </c>
      <c r="F766" s="2">
        <v>50.0</v>
      </c>
      <c r="G766" s="4">
        <v>44460.85966722222</v>
      </c>
      <c r="H766" s="8">
        <v>44460.0</v>
      </c>
    </row>
    <row r="767">
      <c r="A767" s="2">
        <v>3.73</v>
      </c>
      <c r="B767" s="2">
        <v>230.4</v>
      </c>
      <c r="C767" s="2">
        <v>838.9</v>
      </c>
      <c r="D767" s="2">
        <v>1.49</v>
      </c>
      <c r="E767" s="2">
        <v>0.97</v>
      </c>
      <c r="F767" s="2">
        <v>50.0</v>
      </c>
      <c r="G767" s="4">
        <v>44460.85977547454</v>
      </c>
      <c r="H767" s="8">
        <v>44460.0</v>
      </c>
    </row>
    <row r="768">
      <c r="A768" s="2">
        <v>3.73</v>
      </c>
      <c r="B768" s="2">
        <v>230.5</v>
      </c>
      <c r="C768" s="2">
        <v>838.9</v>
      </c>
      <c r="D768" s="2">
        <v>1.49</v>
      </c>
      <c r="E768" s="2">
        <v>0.97</v>
      </c>
      <c r="F768" s="2">
        <v>50.0</v>
      </c>
      <c r="G768" s="4">
        <v>44460.85991472223</v>
      </c>
      <c r="H768" s="8">
        <v>44460.0</v>
      </c>
    </row>
    <row r="769">
      <c r="A769" s="2">
        <v>3.73</v>
      </c>
      <c r="B769" s="2">
        <v>230.4</v>
      </c>
      <c r="C769" s="2">
        <v>839.1</v>
      </c>
      <c r="D769" s="2">
        <v>1.49</v>
      </c>
      <c r="E769" s="2">
        <v>0.98</v>
      </c>
      <c r="F769" s="2">
        <v>50.0</v>
      </c>
      <c r="G769" s="4">
        <v>44460.86003003472</v>
      </c>
      <c r="H769" s="8">
        <v>44460.0</v>
      </c>
    </row>
    <row r="770">
      <c r="A770" s="2">
        <v>3.74</v>
      </c>
      <c r="B770" s="2">
        <v>230.3</v>
      </c>
      <c r="C770" s="2">
        <v>839.2</v>
      </c>
      <c r="D770" s="2">
        <v>1.49</v>
      </c>
      <c r="E770" s="2">
        <v>0.97</v>
      </c>
      <c r="F770" s="2">
        <v>49.9</v>
      </c>
      <c r="G770" s="4">
        <v>44460.86013178241</v>
      </c>
      <c r="H770" s="8">
        <v>44460.0</v>
      </c>
    </row>
    <row r="771">
      <c r="A771" s="2">
        <v>3.74</v>
      </c>
      <c r="B771" s="2">
        <v>230.1</v>
      </c>
      <c r="C771" s="2">
        <v>839.3</v>
      </c>
      <c r="D771" s="2">
        <v>1.5</v>
      </c>
      <c r="E771" s="2">
        <v>0.98</v>
      </c>
      <c r="F771" s="2">
        <v>49.9</v>
      </c>
      <c r="G771" s="4">
        <v>44460.860239560185</v>
      </c>
      <c r="H771" s="8">
        <v>44460.0</v>
      </c>
    </row>
    <row r="772">
      <c r="A772" s="2">
        <v>3.74</v>
      </c>
      <c r="B772" s="2">
        <v>230.2</v>
      </c>
      <c r="C772" s="2">
        <v>839.5</v>
      </c>
      <c r="D772" s="2">
        <v>1.5</v>
      </c>
      <c r="E772" s="2">
        <v>0.97</v>
      </c>
      <c r="F772" s="2">
        <v>49.9</v>
      </c>
      <c r="G772" s="4">
        <v>44460.860338425926</v>
      </c>
      <c r="H772" s="8">
        <v>44460.0</v>
      </c>
    </row>
    <row r="773">
      <c r="A773" s="2">
        <v>3.74</v>
      </c>
      <c r="B773" s="2">
        <v>230.2</v>
      </c>
      <c r="C773" s="2">
        <v>839.6</v>
      </c>
      <c r="D773" s="2">
        <v>1.5</v>
      </c>
      <c r="E773" s="2">
        <v>0.97</v>
      </c>
      <c r="F773" s="2">
        <v>50.0</v>
      </c>
      <c r="G773" s="4">
        <v>44460.86044453704</v>
      </c>
      <c r="H773" s="8">
        <v>44460.0</v>
      </c>
    </row>
    <row r="774">
      <c r="A774" s="2">
        <v>3.74</v>
      </c>
      <c r="B774" s="2">
        <v>230.2</v>
      </c>
      <c r="C774" s="2">
        <v>839.7</v>
      </c>
      <c r="D774" s="2">
        <v>1.5</v>
      </c>
      <c r="E774" s="2">
        <v>0.98</v>
      </c>
      <c r="F774" s="2">
        <v>50.0</v>
      </c>
      <c r="G774" s="4">
        <v>44460.86055186343</v>
      </c>
      <c r="H774" s="8">
        <v>44460.0</v>
      </c>
    </row>
    <row r="775">
      <c r="A775" s="2">
        <v>3.74</v>
      </c>
      <c r="B775" s="2">
        <v>230.3</v>
      </c>
      <c r="C775" s="2">
        <v>839.9</v>
      </c>
      <c r="D775" s="2">
        <v>1.5</v>
      </c>
      <c r="E775" s="2">
        <v>0.97</v>
      </c>
      <c r="F775" s="2">
        <v>50.0</v>
      </c>
      <c r="G775" s="4">
        <v>44460.860648182876</v>
      </c>
      <c r="H775" s="8">
        <v>44460.0</v>
      </c>
    </row>
    <row r="776">
      <c r="A776" s="2">
        <v>3.74</v>
      </c>
      <c r="B776" s="2">
        <v>230.2</v>
      </c>
      <c r="C776" s="2">
        <v>840.0</v>
      </c>
      <c r="D776" s="2">
        <v>1.51</v>
      </c>
      <c r="E776" s="2">
        <v>0.98</v>
      </c>
      <c r="F776" s="2">
        <v>50.0</v>
      </c>
      <c r="G776" s="4">
        <v>44460.86074614583</v>
      </c>
      <c r="H776" s="8">
        <v>44460.0</v>
      </c>
    </row>
    <row r="777">
      <c r="A777" s="2">
        <v>3.74</v>
      </c>
      <c r="B777" s="2">
        <v>230.2</v>
      </c>
      <c r="C777" s="2">
        <v>840.1</v>
      </c>
      <c r="D777" s="2">
        <v>1.51</v>
      </c>
      <c r="E777" s="2">
        <v>0.98</v>
      </c>
      <c r="F777" s="2">
        <v>50.0</v>
      </c>
      <c r="G777" s="4">
        <v>44460.86084327546</v>
      </c>
      <c r="H777" s="8">
        <v>44460.0</v>
      </c>
    </row>
    <row r="778">
      <c r="A778" s="2">
        <v>3.74</v>
      </c>
      <c r="B778" s="2">
        <v>230.4</v>
      </c>
      <c r="C778" s="2">
        <v>840.2</v>
      </c>
      <c r="D778" s="2">
        <v>1.51</v>
      </c>
      <c r="E778" s="2">
        <v>0.97</v>
      </c>
      <c r="F778" s="2">
        <v>50.0</v>
      </c>
      <c r="G778" s="4">
        <v>44460.86094459491</v>
      </c>
      <c r="H778" s="8">
        <v>44460.0</v>
      </c>
    </row>
    <row r="779">
      <c r="A779" s="2">
        <v>3.74</v>
      </c>
      <c r="B779" s="2">
        <v>230.4</v>
      </c>
      <c r="C779" s="2">
        <v>840.3</v>
      </c>
      <c r="D779" s="2">
        <v>1.51</v>
      </c>
      <c r="E779" s="2">
        <v>0.97</v>
      </c>
      <c r="F779" s="2">
        <v>50.0</v>
      </c>
      <c r="G779" s="4">
        <v>44460.86105261574</v>
      </c>
      <c r="H779" s="8">
        <v>44460.0</v>
      </c>
    </row>
    <row r="780">
      <c r="A780" s="2">
        <v>3.74</v>
      </c>
      <c r="B780" s="2">
        <v>230.3</v>
      </c>
      <c r="C780" s="2">
        <v>840.4</v>
      </c>
      <c r="D780" s="2">
        <v>1.51</v>
      </c>
      <c r="E780" s="2">
        <v>0.97</v>
      </c>
      <c r="F780" s="2">
        <v>50.0</v>
      </c>
      <c r="G780" s="4">
        <v>44460.86115818287</v>
      </c>
      <c r="H780" s="8">
        <v>44460.0</v>
      </c>
    </row>
    <row r="781">
      <c r="A781" s="2">
        <v>3.74</v>
      </c>
      <c r="B781" s="2">
        <v>230.3</v>
      </c>
      <c r="C781" s="2">
        <v>840.5</v>
      </c>
      <c r="D781" s="2">
        <v>1.52</v>
      </c>
      <c r="E781" s="2">
        <v>0.97</v>
      </c>
      <c r="F781" s="2">
        <v>50.0</v>
      </c>
      <c r="G781" s="4">
        <v>44460.86126346065</v>
      </c>
      <c r="H781" s="8">
        <v>44460.0</v>
      </c>
    </row>
    <row r="782">
      <c r="A782" s="2">
        <v>3.75</v>
      </c>
      <c r="B782" s="2">
        <v>230.2</v>
      </c>
      <c r="C782" s="2">
        <v>840.6</v>
      </c>
      <c r="D782" s="2">
        <v>1.52</v>
      </c>
      <c r="E782" s="2">
        <v>0.97</v>
      </c>
      <c r="F782" s="2">
        <v>50.0</v>
      </c>
      <c r="G782" s="4">
        <v>44460.861368854166</v>
      </c>
      <c r="H782" s="8">
        <v>44460.0</v>
      </c>
    </row>
    <row r="783">
      <c r="A783" s="2">
        <v>3.74</v>
      </c>
      <c r="B783" s="2">
        <v>230.3</v>
      </c>
      <c r="C783" s="2">
        <v>840.8</v>
      </c>
      <c r="D783" s="2">
        <v>1.52</v>
      </c>
      <c r="E783" s="2">
        <v>0.97</v>
      </c>
      <c r="F783" s="2">
        <v>50.0</v>
      </c>
      <c r="G783" s="4">
        <v>44460.86147101852</v>
      </c>
      <c r="H783" s="8">
        <v>44460.0</v>
      </c>
    </row>
    <row r="784">
      <c r="A784" s="2">
        <v>3.75</v>
      </c>
      <c r="B784" s="2">
        <v>230.2</v>
      </c>
      <c r="C784" s="2">
        <v>840.9</v>
      </c>
      <c r="D784" s="2">
        <v>1.52</v>
      </c>
      <c r="E784" s="2">
        <v>0.97</v>
      </c>
      <c r="F784" s="2">
        <v>50.0</v>
      </c>
      <c r="G784" s="4">
        <v>44460.86157635417</v>
      </c>
      <c r="H784" s="8">
        <v>44460.0</v>
      </c>
    </row>
    <row r="785">
      <c r="A785" s="2">
        <v>3.75</v>
      </c>
      <c r="B785" s="2">
        <v>230.1</v>
      </c>
      <c r="C785" s="2">
        <v>841.0</v>
      </c>
      <c r="D785" s="2">
        <v>1.52</v>
      </c>
      <c r="E785" s="2">
        <v>0.97</v>
      </c>
      <c r="F785" s="2">
        <v>49.9</v>
      </c>
      <c r="G785" s="4">
        <v>44460.86167601852</v>
      </c>
      <c r="H785" s="8">
        <v>44460.0</v>
      </c>
    </row>
    <row r="786">
      <c r="A786" s="2">
        <v>3.75</v>
      </c>
      <c r="B786" s="2">
        <v>230.2</v>
      </c>
      <c r="C786" s="2">
        <v>841.1</v>
      </c>
      <c r="D786" s="2">
        <v>1.53</v>
      </c>
      <c r="E786" s="2">
        <v>0.97</v>
      </c>
      <c r="F786" s="2">
        <v>50.0</v>
      </c>
      <c r="G786" s="4">
        <v>44460.86177604167</v>
      </c>
      <c r="H786" s="8">
        <v>44460.0</v>
      </c>
    </row>
    <row r="787">
      <c r="A787" s="2">
        <v>3.75</v>
      </c>
      <c r="B787" s="2">
        <v>230.1</v>
      </c>
      <c r="C787" s="2">
        <v>841.3</v>
      </c>
      <c r="D787" s="2">
        <v>1.53</v>
      </c>
      <c r="E787" s="2">
        <v>0.97</v>
      </c>
      <c r="F787" s="2">
        <v>50.0</v>
      </c>
      <c r="G787" s="4">
        <v>44460.861876932875</v>
      </c>
      <c r="H787" s="8">
        <v>44460.0</v>
      </c>
    </row>
    <row r="788">
      <c r="A788" s="2">
        <v>3.75</v>
      </c>
      <c r="B788" s="2">
        <v>230.1</v>
      </c>
      <c r="C788" s="2">
        <v>841.4</v>
      </c>
      <c r="D788" s="2">
        <v>1.53</v>
      </c>
      <c r="E788" s="2">
        <v>0.98</v>
      </c>
      <c r="F788" s="2">
        <v>50.0</v>
      </c>
      <c r="G788" s="4">
        <v>44460.8619796412</v>
      </c>
      <c r="H788" s="8">
        <v>44460.0</v>
      </c>
    </row>
    <row r="789">
      <c r="A789" s="2">
        <v>3.75</v>
      </c>
      <c r="B789" s="2">
        <v>230.2</v>
      </c>
      <c r="C789" s="2">
        <v>841.5</v>
      </c>
      <c r="D789" s="2">
        <v>1.53</v>
      </c>
      <c r="E789" s="2">
        <v>0.97</v>
      </c>
      <c r="F789" s="2">
        <v>50.0</v>
      </c>
      <c r="G789" s="4">
        <v>44460.86208111111</v>
      </c>
      <c r="H789" s="8">
        <v>44460.0</v>
      </c>
    </row>
    <row r="790">
      <c r="A790" s="2">
        <v>3.75</v>
      </c>
      <c r="B790" s="2">
        <v>230.2</v>
      </c>
      <c r="C790" s="2">
        <v>841.5</v>
      </c>
      <c r="D790" s="2">
        <v>1.53</v>
      </c>
      <c r="E790" s="2">
        <v>0.98</v>
      </c>
      <c r="F790" s="2">
        <v>50.0</v>
      </c>
      <c r="G790" s="4">
        <v>44460.86218635416</v>
      </c>
      <c r="H790" s="8">
        <v>44460.0</v>
      </c>
    </row>
    <row r="791">
      <c r="A791" s="2">
        <v>3.75</v>
      </c>
      <c r="B791" s="2">
        <v>230.2</v>
      </c>
      <c r="C791" s="2">
        <v>841.7</v>
      </c>
      <c r="D791" s="2">
        <v>1.54</v>
      </c>
      <c r="E791" s="2">
        <v>0.97</v>
      </c>
      <c r="F791" s="2">
        <v>50.0</v>
      </c>
      <c r="G791" s="4">
        <v>44460.862299699074</v>
      </c>
      <c r="H791" s="8">
        <v>44460.0</v>
      </c>
    </row>
    <row r="792">
      <c r="A792" s="2">
        <v>3.75</v>
      </c>
      <c r="B792" s="2">
        <v>230.3</v>
      </c>
      <c r="C792" s="2">
        <v>841.8</v>
      </c>
      <c r="D792" s="2">
        <v>1.54</v>
      </c>
      <c r="E792" s="2">
        <v>0.97</v>
      </c>
      <c r="F792" s="2">
        <v>50.0</v>
      </c>
      <c r="G792" s="4">
        <v>44460.86240395834</v>
      </c>
      <c r="H792" s="8">
        <v>44460.0</v>
      </c>
    </row>
    <row r="793">
      <c r="A793" s="2">
        <v>3.75</v>
      </c>
      <c r="B793" s="2">
        <v>230.2</v>
      </c>
      <c r="C793" s="2">
        <v>841.9</v>
      </c>
      <c r="D793" s="2">
        <v>1.54</v>
      </c>
      <c r="E793" s="2">
        <v>0.98</v>
      </c>
      <c r="F793" s="2">
        <v>50.0</v>
      </c>
      <c r="G793" s="4">
        <v>44460.86250891203</v>
      </c>
      <c r="H793" s="8">
        <v>44460.0</v>
      </c>
    </row>
    <row r="794">
      <c r="A794" s="2">
        <v>3.76</v>
      </c>
      <c r="B794" s="2">
        <v>230.0</v>
      </c>
      <c r="C794" s="2">
        <v>842.1</v>
      </c>
      <c r="D794" s="2">
        <v>1.54</v>
      </c>
      <c r="E794" s="2">
        <v>0.97</v>
      </c>
      <c r="F794" s="2">
        <v>50.0</v>
      </c>
      <c r="G794" s="4">
        <v>44460.862605532406</v>
      </c>
      <c r="H794" s="8">
        <v>44460.0</v>
      </c>
    </row>
    <row r="795">
      <c r="A795" s="2">
        <v>3.75</v>
      </c>
      <c r="B795" s="2">
        <v>230.3</v>
      </c>
      <c r="C795" s="2">
        <v>842.2</v>
      </c>
      <c r="D795" s="2">
        <v>1.54</v>
      </c>
      <c r="E795" s="2">
        <v>0.97</v>
      </c>
      <c r="F795" s="2">
        <v>50.0</v>
      </c>
      <c r="G795" s="4">
        <v>44460.86270724537</v>
      </c>
      <c r="H795" s="8">
        <v>44460.0</v>
      </c>
    </row>
    <row r="796">
      <c r="A796" s="2">
        <v>3.75</v>
      </c>
      <c r="B796" s="2">
        <v>230.2</v>
      </c>
      <c r="C796" s="2">
        <v>842.3</v>
      </c>
      <c r="D796" s="2">
        <v>1.55</v>
      </c>
      <c r="E796" s="2">
        <v>0.97</v>
      </c>
      <c r="F796" s="2">
        <v>50.0</v>
      </c>
      <c r="G796" s="4">
        <v>44460.8628159838</v>
      </c>
      <c r="H796" s="8">
        <v>44460.0</v>
      </c>
    </row>
    <row r="797">
      <c r="A797" s="2">
        <v>3.75</v>
      </c>
      <c r="B797" s="2">
        <v>230.3</v>
      </c>
      <c r="C797" s="2">
        <v>842.4</v>
      </c>
      <c r="D797" s="2">
        <v>1.55</v>
      </c>
      <c r="E797" s="2">
        <v>0.97</v>
      </c>
      <c r="F797" s="2">
        <v>50.0</v>
      </c>
      <c r="G797" s="4">
        <v>44460.862921736116</v>
      </c>
      <c r="H797" s="8">
        <v>44460.0</v>
      </c>
    </row>
    <row r="798">
      <c r="A798" s="2">
        <v>3.75</v>
      </c>
      <c r="B798" s="2">
        <v>230.3</v>
      </c>
      <c r="C798" s="2">
        <v>842.6</v>
      </c>
      <c r="D798" s="2">
        <v>1.55</v>
      </c>
      <c r="E798" s="2">
        <v>0.97</v>
      </c>
      <c r="F798" s="2">
        <v>50.0</v>
      </c>
      <c r="G798" s="4">
        <v>44460.863025196755</v>
      </c>
      <c r="H798" s="8">
        <v>44460.0</v>
      </c>
    </row>
    <row r="799">
      <c r="A799" s="2">
        <v>3.75</v>
      </c>
      <c r="B799" s="2">
        <v>230.3</v>
      </c>
      <c r="C799" s="2">
        <v>842.6</v>
      </c>
      <c r="D799" s="2">
        <v>1.55</v>
      </c>
      <c r="E799" s="2">
        <v>0.97</v>
      </c>
      <c r="F799" s="2">
        <v>50.0</v>
      </c>
      <c r="G799" s="4">
        <v>44460.86312689815</v>
      </c>
      <c r="H799" s="8">
        <v>44460.0</v>
      </c>
    </row>
    <row r="800">
      <c r="A800" s="2">
        <v>3.75</v>
      </c>
      <c r="B800" s="2">
        <v>230.4</v>
      </c>
      <c r="C800" s="2">
        <v>842.7</v>
      </c>
      <c r="D800" s="2">
        <v>1.56</v>
      </c>
      <c r="E800" s="2">
        <v>0.98</v>
      </c>
      <c r="F800" s="2">
        <v>50.0</v>
      </c>
      <c r="G800" s="4">
        <v>44460.86322728009</v>
      </c>
      <c r="H800" s="8">
        <v>44460.0</v>
      </c>
    </row>
    <row r="801">
      <c r="A801" s="2">
        <v>3.75</v>
      </c>
      <c r="B801" s="2">
        <v>230.6</v>
      </c>
      <c r="C801" s="2">
        <v>842.8</v>
      </c>
      <c r="D801" s="2">
        <v>1.56</v>
      </c>
      <c r="E801" s="2">
        <v>0.97</v>
      </c>
      <c r="F801" s="2">
        <v>50.0</v>
      </c>
      <c r="G801" s="4">
        <v>44460.863331678236</v>
      </c>
      <c r="H801" s="8">
        <v>44460.0</v>
      </c>
    </row>
    <row r="802">
      <c r="A802" s="2">
        <v>3.75</v>
      </c>
      <c r="B802" s="2">
        <v>230.7</v>
      </c>
      <c r="C802" s="2">
        <v>842.9</v>
      </c>
      <c r="D802" s="2">
        <v>1.56</v>
      </c>
      <c r="E802" s="2">
        <v>0.97</v>
      </c>
      <c r="F802" s="2">
        <v>50.0</v>
      </c>
      <c r="G802" s="4">
        <v>44460.86343678241</v>
      </c>
      <c r="H802" s="8">
        <v>44460.0</v>
      </c>
    </row>
    <row r="803">
      <c r="A803" s="2">
        <v>3.75</v>
      </c>
      <c r="B803" s="2">
        <v>230.7</v>
      </c>
      <c r="C803" s="2">
        <v>843.1</v>
      </c>
      <c r="D803" s="2">
        <v>1.56</v>
      </c>
      <c r="E803" s="2">
        <v>0.98</v>
      </c>
      <c r="F803" s="2">
        <v>50.0</v>
      </c>
      <c r="G803" s="4">
        <v>44460.86353672454</v>
      </c>
      <c r="H803" s="8">
        <v>44460.0</v>
      </c>
    </row>
    <row r="804">
      <c r="A804" s="2">
        <v>3.75</v>
      </c>
      <c r="B804" s="2">
        <v>230.7</v>
      </c>
      <c r="C804" s="2">
        <v>843.2</v>
      </c>
      <c r="D804" s="2">
        <v>1.56</v>
      </c>
      <c r="E804" s="2">
        <v>0.97</v>
      </c>
      <c r="F804" s="2">
        <v>50.0</v>
      </c>
      <c r="G804" s="4">
        <v>44460.863642337965</v>
      </c>
      <c r="H804" s="8">
        <v>44460.0</v>
      </c>
    </row>
    <row r="805">
      <c r="A805" s="2">
        <v>3.75</v>
      </c>
      <c r="B805" s="2">
        <v>230.7</v>
      </c>
      <c r="C805" s="2">
        <v>843.3</v>
      </c>
      <c r="D805" s="2">
        <v>1.57</v>
      </c>
      <c r="E805" s="2">
        <v>0.98</v>
      </c>
      <c r="F805" s="2">
        <v>50.0</v>
      </c>
      <c r="G805" s="4">
        <v>44460.863748495365</v>
      </c>
      <c r="H805" s="8">
        <v>44460.0</v>
      </c>
    </row>
    <row r="806">
      <c r="A806" s="2">
        <v>3.75</v>
      </c>
      <c r="B806" s="2">
        <v>230.7</v>
      </c>
      <c r="C806" s="2">
        <v>843.4</v>
      </c>
      <c r="D806" s="2">
        <v>1.57</v>
      </c>
      <c r="E806" s="2">
        <v>0.97</v>
      </c>
      <c r="F806" s="2">
        <v>50.0</v>
      </c>
      <c r="G806" s="4">
        <v>44460.8638459838</v>
      </c>
      <c r="H806" s="8">
        <v>44460.0</v>
      </c>
    </row>
    <row r="807">
      <c r="A807" s="2">
        <v>3.75</v>
      </c>
      <c r="B807" s="2">
        <v>230.7</v>
      </c>
      <c r="C807" s="2">
        <v>843.5</v>
      </c>
      <c r="D807" s="2">
        <v>1.57</v>
      </c>
      <c r="E807" s="2">
        <v>0.98</v>
      </c>
      <c r="F807" s="2">
        <v>50.0</v>
      </c>
      <c r="G807" s="4">
        <v>44460.86394332176</v>
      </c>
      <c r="H807" s="8">
        <v>44460.0</v>
      </c>
    </row>
    <row r="808">
      <c r="A808" s="2">
        <v>3.75</v>
      </c>
      <c r="B808" s="2">
        <v>230.7</v>
      </c>
      <c r="C808" s="2">
        <v>843.7</v>
      </c>
      <c r="D808" s="2">
        <v>1.57</v>
      </c>
      <c r="E808" s="2">
        <v>0.97</v>
      </c>
      <c r="F808" s="2">
        <v>50.0</v>
      </c>
      <c r="G808" s="4">
        <v>44460.86404690972</v>
      </c>
      <c r="H808" s="8">
        <v>44460.0</v>
      </c>
    </row>
    <row r="809">
      <c r="A809" s="2">
        <v>3.75</v>
      </c>
      <c r="B809" s="2">
        <v>230.7</v>
      </c>
      <c r="C809" s="2">
        <v>843.8</v>
      </c>
      <c r="D809" s="2">
        <v>1.58</v>
      </c>
      <c r="E809" s="2">
        <v>0.97</v>
      </c>
      <c r="F809" s="2">
        <v>50.0</v>
      </c>
      <c r="G809" s="4">
        <v>44460.86414637732</v>
      </c>
      <c r="H809" s="8">
        <v>44460.0</v>
      </c>
    </row>
    <row r="810">
      <c r="A810" s="2">
        <v>3.75</v>
      </c>
      <c r="B810" s="2">
        <v>230.9</v>
      </c>
      <c r="C810" s="2">
        <v>843.8</v>
      </c>
      <c r="D810" s="2">
        <v>1.58</v>
      </c>
      <c r="E810" s="2">
        <v>0.97</v>
      </c>
      <c r="F810" s="2">
        <v>50.0</v>
      </c>
      <c r="G810" s="4">
        <v>44460.86424685185</v>
      </c>
      <c r="H810" s="8">
        <v>44460.0</v>
      </c>
    </row>
    <row r="811">
      <c r="A811" s="2">
        <v>3.75</v>
      </c>
      <c r="B811" s="2">
        <v>231.0</v>
      </c>
      <c r="C811" s="2">
        <v>843.9</v>
      </c>
      <c r="D811" s="2">
        <v>1.58</v>
      </c>
      <c r="E811" s="2">
        <v>0.97</v>
      </c>
      <c r="F811" s="2">
        <v>50.0</v>
      </c>
      <c r="G811" s="4">
        <v>44460.86434665509</v>
      </c>
      <c r="H811" s="8">
        <v>44460.0</v>
      </c>
    </row>
    <row r="812">
      <c r="A812" s="2">
        <v>3.75</v>
      </c>
      <c r="B812" s="2">
        <v>231.1</v>
      </c>
      <c r="C812" s="2">
        <v>844.1</v>
      </c>
      <c r="D812" s="2">
        <v>1.58</v>
      </c>
      <c r="E812" s="2">
        <v>0.98</v>
      </c>
      <c r="F812" s="2">
        <v>50.0</v>
      </c>
      <c r="G812" s="4">
        <v>44460.86445195602</v>
      </c>
      <c r="H812" s="8">
        <v>44460.0</v>
      </c>
    </row>
    <row r="813">
      <c r="A813" s="2">
        <v>3.75</v>
      </c>
      <c r="B813" s="2">
        <v>231.0</v>
      </c>
      <c r="C813" s="2">
        <v>844.2</v>
      </c>
      <c r="D813" s="2">
        <v>1.58</v>
      </c>
      <c r="E813" s="2">
        <v>0.98</v>
      </c>
      <c r="F813" s="2">
        <v>50.0</v>
      </c>
      <c r="G813" s="4">
        <v>44460.86455755787</v>
      </c>
      <c r="H813" s="8">
        <v>44460.0</v>
      </c>
    </row>
    <row r="814">
      <c r="A814" s="2">
        <v>3.75</v>
      </c>
      <c r="B814" s="2">
        <v>230.9</v>
      </c>
      <c r="C814" s="2">
        <v>844.3</v>
      </c>
      <c r="D814" s="2">
        <v>1.59</v>
      </c>
      <c r="E814" s="2">
        <v>0.97</v>
      </c>
      <c r="F814" s="2">
        <v>50.0</v>
      </c>
      <c r="G814" s="4">
        <v>44460.864659328705</v>
      </c>
      <c r="H814" s="8">
        <v>44460.0</v>
      </c>
    </row>
    <row r="815">
      <c r="A815" s="2">
        <v>3.75</v>
      </c>
      <c r="B815" s="2">
        <v>230.9</v>
      </c>
      <c r="C815" s="2">
        <v>844.4</v>
      </c>
      <c r="D815" s="2">
        <v>1.59</v>
      </c>
      <c r="E815" s="2">
        <v>0.98</v>
      </c>
      <c r="F815" s="2">
        <v>50.0</v>
      </c>
      <c r="G815" s="4">
        <v>44460.86476474537</v>
      </c>
      <c r="H815" s="8">
        <v>44460.0</v>
      </c>
    </row>
    <row r="816">
      <c r="A816" s="2">
        <v>3.75</v>
      </c>
      <c r="B816" s="2">
        <v>231.0</v>
      </c>
      <c r="C816" s="2">
        <v>844.5</v>
      </c>
      <c r="D816" s="2">
        <v>1.59</v>
      </c>
      <c r="E816" s="2">
        <v>0.97</v>
      </c>
      <c r="F816" s="2">
        <v>50.0</v>
      </c>
      <c r="G816" s="4">
        <v>44460.86486458333</v>
      </c>
      <c r="H816" s="8">
        <v>44460.0</v>
      </c>
    </row>
    <row r="817">
      <c r="A817" s="2">
        <v>3.75</v>
      </c>
      <c r="B817" s="2">
        <v>230.9</v>
      </c>
      <c r="C817" s="2">
        <v>844.7</v>
      </c>
      <c r="D817" s="2">
        <v>1.59</v>
      </c>
      <c r="E817" s="2">
        <v>0.98</v>
      </c>
      <c r="F817" s="2">
        <v>50.0</v>
      </c>
      <c r="G817" s="4">
        <v>44460.86496706019</v>
      </c>
      <c r="H817" s="8">
        <v>44460.0</v>
      </c>
    </row>
    <row r="818">
      <c r="A818" s="2">
        <v>3.75</v>
      </c>
      <c r="B818" s="2">
        <v>230.9</v>
      </c>
      <c r="C818" s="2">
        <v>844.7</v>
      </c>
      <c r="D818" s="2">
        <v>1.59</v>
      </c>
      <c r="E818" s="2">
        <v>0.98</v>
      </c>
      <c r="F818" s="2">
        <v>50.0</v>
      </c>
      <c r="G818" s="4">
        <v>44460.86506984953</v>
      </c>
      <c r="H818" s="8">
        <v>44460.0</v>
      </c>
    </row>
    <row r="819">
      <c r="A819" s="2">
        <v>3.75</v>
      </c>
      <c r="B819" s="2">
        <v>230.9</v>
      </c>
      <c r="C819" s="2">
        <v>844.8</v>
      </c>
      <c r="D819" s="2">
        <v>1.6</v>
      </c>
      <c r="E819" s="2">
        <v>0.97</v>
      </c>
      <c r="F819" s="2">
        <v>50.0</v>
      </c>
      <c r="G819" s="4">
        <v>44460.865171550926</v>
      </c>
      <c r="H819" s="8">
        <v>44460.0</v>
      </c>
    </row>
    <row r="820">
      <c r="A820" s="2">
        <v>3.75</v>
      </c>
      <c r="B820" s="2">
        <v>231.1</v>
      </c>
      <c r="C820" s="2">
        <v>845.0</v>
      </c>
      <c r="D820" s="2">
        <v>1.6</v>
      </c>
      <c r="E820" s="2">
        <v>0.97</v>
      </c>
      <c r="F820" s="2">
        <v>50.0</v>
      </c>
      <c r="G820" s="4">
        <v>44460.86527368055</v>
      </c>
      <c r="H820" s="8">
        <v>44460.0</v>
      </c>
    </row>
    <row r="821">
      <c r="A821" s="2">
        <v>3.75</v>
      </c>
      <c r="B821" s="2">
        <v>231.0</v>
      </c>
      <c r="C821" s="2">
        <v>845.1</v>
      </c>
      <c r="D821" s="2">
        <v>1.6</v>
      </c>
      <c r="E821" s="2">
        <v>0.98</v>
      </c>
      <c r="F821" s="2">
        <v>50.0</v>
      </c>
      <c r="G821" s="4">
        <v>44460.86537339121</v>
      </c>
      <c r="H821" s="8">
        <v>44460.0</v>
      </c>
    </row>
    <row r="822">
      <c r="A822" s="2">
        <v>3.75</v>
      </c>
      <c r="B822" s="2">
        <v>231.1</v>
      </c>
      <c r="C822" s="2">
        <v>845.2</v>
      </c>
      <c r="D822" s="2">
        <v>1.6</v>
      </c>
      <c r="E822" s="2">
        <v>0.97</v>
      </c>
      <c r="F822" s="2">
        <v>49.9</v>
      </c>
      <c r="G822" s="4">
        <v>44460.86547578704</v>
      </c>
      <c r="H822" s="8">
        <v>44460.0</v>
      </c>
    </row>
    <row r="823">
      <c r="A823" s="2">
        <v>3.75</v>
      </c>
      <c r="B823" s="2">
        <v>231.0</v>
      </c>
      <c r="C823" s="2">
        <v>845.3</v>
      </c>
      <c r="D823" s="2">
        <v>1.6</v>
      </c>
      <c r="E823" s="2">
        <v>0.98</v>
      </c>
      <c r="F823" s="2">
        <v>50.0</v>
      </c>
      <c r="G823" s="4">
        <v>44460.86558010417</v>
      </c>
      <c r="H823" s="8">
        <v>44460.0</v>
      </c>
    </row>
    <row r="824">
      <c r="A824" s="2">
        <v>3.75</v>
      </c>
      <c r="B824" s="2">
        <v>231.1</v>
      </c>
      <c r="C824" s="2">
        <v>845.4</v>
      </c>
      <c r="D824" s="2">
        <v>1.61</v>
      </c>
      <c r="E824" s="2">
        <v>0.97</v>
      </c>
      <c r="F824" s="2">
        <v>49.9</v>
      </c>
      <c r="G824" s="4">
        <v>44460.865686018515</v>
      </c>
      <c r="H824" s="8">
        <v>44460.0</v>
      </c>
    </row>
    <row r="825">
      <c r="A825" s="2">
        <v>3.75</v>
      </c>
      <c r="B825" s="2">
        <v>231.1</v>
      </c>
      <c r="C825" s="2">
        <v>845.5</v>
      </c>
      <c r="D825" s="2">
        <v>1.61</v>
      </c>
      <c r="E825" s="2">
        <v>0.97</v>
      </c>
      <c r="F825" s="2">
        <v>49.9</v>
      </c>
      <c r="G825" s="4">
        <v>44460.86578479166</v>
      </c>
      <c r="H825" s="8">
        <v>44460.0</v>
      </c>
    </row>
    <row r="826">
      <c r="A826" s="2">
        <v>3.75</v>
      </c>
      <c r="B826" s="2">
        <v>231.1</v>
      </c>
      <c r="C826" s="2">
        <v>845.7</v>
      </c>
      <c r="D826" s="2">
        <v>1.61</v>
      </c>
      <c r="E826" s="2">
        <v>0.97</v>
      </c>
      <c r="F826" s="2">
        <v>50.0</v>
      </c>
      <c r="G826" s="4">
        <v>44460.86588491898</v>
      </c>
      <c r="H826" s="8">
        <v>44460.0</v>
      </c>
    </row>
    <row r="827">
      <c r="A827" s="2">
        <v>3.75</v>
      </c>
      <c r="B827" s="2">
        <v>231.3</v>
      </c>
      <c r="C827" s="2">
        <v>845.7</v>
      </c>
      <c r="D827" s="2">
        <v>1.61</v>
      </c>
      <c r="E827" s="2">
        <v>0.97</v>
      </c>
      <c r="F827" s="2">
        <v>49.9</v>
      </c>
      <c r="G827" s="4">
        <v>44460.86599395833</v>
      </c>
      <c r="H827" s="8">
        <v>44460.0</v>
      </c>
    </row>
    <row r="828">
      <c r="A828" s="2">
        <v>3.75</v>
      </c>
      <c r="B828" s="2">
        <v>231.3</v>
      </c>
      <c r="C828" s="2">
        <v>845.9</v>
      </c>
      <c r="D828" s="2">
        <v>1.61</v>
      </c>
      <c r="E828" s="2">
        <v>0.97</v>
      </c>
      <c r="F828" s="2">
        <v>50.0</v>
      </c>
      <c r="G828" s="4">
        <v>44460.86609916667</v>
      </c>
      <c r="H828" s="8">
        <v>44460.0</v>
      </c>
    </row>
    <row r="829">
      <c r="A829" s="2">
        <v>3.75</v>
      </c>
      <c r="B829" s="2">
        <v>231.2</v>
      </c>
      <c r="C829" s="2">
        <v>846.0</v>
      </c>
      <c r="D829" s="2">
        <v>1.62</v>
      </c>
      <c r="E829" s="2">
        <v>0.97</v>
      </c>
      <c r="F829" s="2">
        <v>50.0</v>
      </c>
      <c r="G829" s="4">
        <v>44460.86620425926</v>
      </c>
      <c r="H829" s="8">
        <v>44460.0</v>
      </c>
    </row>
    <row r="830">
      <c r="A830" s="2">
        <v>3.75</v>
      </c>
      <c r="B830" s="2">
        <v>231.2</v>
      </c>
      <c r="C830" s="2">
        <v>846.2</v>
      </c>
      <c r="D830" s="2">
        <v>1.62</v>
      </c>
      <c r="E830" s="2">
        <v>0.97</v>
      </c>
      <c r="F830" s="2">
        <v>50.0</v>
      </c>
      <c r="G830" s="4">
        <v>44460.86630313657</v>
      </c>
      <c r="H830" s="8">
        <v>44460.0</v>
      </c>
    </row>
    <row r="831">
      <c r="A831" s="2">
        <v>3.75</v>
      </c>
      <c r="B831" s="2">
        <v>231.3</v>
      </c>
      <c r="C831" s="2">
        <v>846.3</v>
      </c>
      <c r="D831" s="2">
        <v>1.62</v>
      </c>
      <c r="E831" s="2">
        <v>0.97</v>
      </c>
      <c r="F831" s="2">
        <v>50.0</v>
      </c>
      <c r="G831" s="4">
        <v>44460.86640196759</v>
      </c>
      <c r="H831" s="8">
        <v>44460.0</v>
      </c>
    </row>
    <row r="832">
      <c r="A832" s="2">
        <v>3.75</v>
      </c>
      <c r="B832" s="2">
        <v>231.4</v>
      </c>
      <c r="C832" s="2">
        <v>846.3</v>
      </c>
      <c r="D832" s="2">
        <v>1.62</v>
      </c>
      <c r="E832" s="2">
        <v>0.97</v>
      </c>
      <c r="F832" s="2">
        <v>50.0</v>
      </c>
      <c r="G832" s="4">
        <v>44460.8665052662</v>
      </c>
      <c r="H832" s="8">
        <v>44460.0</v>
      </c>
    </row>
    <row r="833">
      <c r="A833" s="2">
        <v>3.75</v>
      </c>
      <c r="B833" s="2">
        <v>231.3</v>
      </c>
      <c r="C833" s="2">
        <v>846.5</v>
      </c>
      <c r="D833" s="2">
        <v>1.62</v>
      </c>
      <c r="E833" s="2">
        <v>0.97</v>
      </c>
      <c r="F833" s="2">
        <v>50.0</v>
      </c>
      <c r="G833" s="4">
        <v>44460.86660753472</v>
      </c>
      <c r="H833" s="8">
        <v>44460.0</v>
      </c>
    </row>
    <row r="834">
      <c r="A834" s="2">
        <v>3.75</v>
      </c>
      <c r="B834" s="2">
        <v>231.3</v>
      </c>
      <c r="C834" s="2">
        <v>846.6</v>
      </c>
      <c r="D834" s="2">
        <v>1.63</v>
      </c>
      <c r="E834" s="2">
        <v>0.98</v>
      </c>
      <c r="F834" s="2">
        <v>50.0</v>
      </c>
      <c r="G834" s="4">
        <v>44460.86670960648</v>
      </c>
      <c r="H834" s="8">
        <v>44460.0</v>
      </c>
    </row>
    <row r="835">
      <c r="A835" s="2">
        <v>3.76</v>
      </c>
      <c r="B835" s="2">
        <v>231.2</v>
      </c>
      <c r="C835" s="2">
        <v>846.7</v>
      </c>
      <c r="D835" s="2">
        <v>1.63</v>
      </c>
      <c r="E835" s="2">
        <v>0.97</v>
      </c>
      <c r="F835" s="2">
        <v>50.0</v>
      </c>
      <c r="G835" s="4">
        <v>44460.866812569446</v>
      </c>
      <c r="H835" s="8">
        <v>44460.0</v>
      </c>
    </row>
    <row r="836">
      <c r="A836" s="2">
        <v>3.76</v>
      </c>
      <c r="B836" s="2">
        <v>231.2</v>
      </c>
      <c r="C836" s="2">
        <v>846.8</v>
      </c>
      <c r="D836" s="2">
        <v>1.63</v>
      </c>
      <c r="E836" s="2">
        <v>0.97</v>
      </c>
      <c r="F836" s="2">
        <v>50.0</v>
      </c>
      <c r="G836" s="4">
        <v>44460.86691810185</v>
      </c>
      <c r="H836" s="8">
        <v>44460.0</v>
      </c>
    </row>
    <row r="837">
      <c r="A837" s="2">
        <v>3.76</v>
      </c>
      <c r="B837" s="2">
        <v>231.2</v>
      </c>
      <c r="C837" s="2">
        <v>846.9</v>
      </c>
      <c r="D837" s="2">
        <v>1.63</v>
      </c>
      <c r="E837" s="2">
        <v>0.97</v>
      </c>
      <c r="F837" s="2">
        <v>49.9</v>
      </c>
      <c r="G837" s="4">
        <v>44460.867025011576</v>
      </c>
      <c r="H837" s="8">
        <v>44460.0</v>
      </c>
    </row>
    <row r="838">
      <c r="A838" s="2">
        <v>3.76</v>
      </c>
      <c r="B838" s="2">
        <v>231.2</v>
      </c>
      <c r="C838" s="2">
        <v>847.1</v>
      </c>
      <c r="D838" s="2">
        <v>1.63</v>
      </c>
      <c r="E838" s="2">
        <v>0.97</v>
      </c>
      <c r="F838" s="2">
        <v>50.0</v>
      </c>
      <c r="G838" s="4">
        <v>44460.867131736115</v>
      </c>
      <c r="H838" s="8">
        <v>44460.0</v>
      </c>
    </row>
    <row r="839">
      <c r="A839" s="2">
        <v>3.76</v>
      </c>
      <c r="B839" s="2">
        <v>231.2</v>
      </c>
      <c r="C839" s="2">
        <v>847.2</v>
      </c>
      <c r="D839" s="2">
        <v>1.64</v>
      </c>
      <c r="E839" s="2">
        <v>0.98</v>
      </c>
      <c r="F839" s="2">
        <v>50.0</v>
      </c>
      <c r="G839" s="4">
        <v>44460.86724150463</v>
      </c>
      <c r="H839" s="8">
        <v>44460.0</v>
      </c>
    </row>
    <row r="840">
      <c r="A840" s="2">
        <v>3.76</v>
      </c>
      <c r="B840" s="2">
        <v>231.2</v>
      </c>
      <c r="C840" s="2">
        <v>847.4</v>
      </c>
      <c r="D840" s="2">
        <v>1.64</v>
      </c>
      <c r="E840" s="2">
        <v>0.97</v>
      </c>
      <c r="F840" s="2">
        <v>50.0</v>
      </c>
      <c r="G840" s="4">
        <v>44460.8673519213</v>
      </c>
      <c r="H840" s="8">
        <v>44460.0</v>
      </c>
    </row>
    <row r="841">
      <c r="A841" s="2">
        <v>3.76</v>
      </c>
      <c r="B841" s="2">
        <v>231.2</v>
      </c>
      <c r="C841" s="2">
        <v>847.5</v>
      </c>
      <c r="D841" s="2">
        <v>1.64</v>
      </c>
      <c r="E841" s="2">
        <v>0.97</v>
      </c>
      <c r="F841" s="2">
        <v>50.0</v>
      </c>
      <c r="G841" s="4">
        <v>44460.86745247685</v>
      </c>
      <c r="H841" s="8">
        <v>44460.0</v>
      </c>
    </row>
    <row r="842">
      <c r="A842" s="2">
        <v>3.76</v>
      </c>
      <c r="B842" s="2">
        <v>231.2</v>
      </c>
      <c r="C842" s="2">
        <v>847.6</v>
      </c>
      <c r="D842" s="2">
        <v>1.64</v>
      </c>
      <c r="E842" s="2">
        <v>0.98</v>
      </c>
      <c r="F842" s="2">
        <v>50.0</v>
      </c>
      <c r="G842" s="4">
        <v>44460.867555324076</v>
      </c>
      <c r="H842" s="8">
        <v>44460.0</v>
      </c>
    </row>
    <row r="843">
      <c r="A843" s="2">
        <v>3.76</v>
      </c>
      <c r="B843" s="2">
        <v>231.2</v>
      </c>
      <c r="C843" s="2">
        <v>847.7</v>
      </c>
      <c r="D843" s="2">
        <v>1.65</v>
      </c>
      <c r="E843" s="2">
        <v>0.98</v>
      </c>
      <c r="F843" s="2">
        <v>50.0</v>
      </c>
      <c r="G843" s="4">
        <v>44460.8676543287</v>
      </c>
      <c r="H843" s="8">
        <v>44460.0</v>
      </c>
    </row>
    <row r="844">
      <c r="A844" s="2">
        <v>3.76</v>
      </c>
      <c r="B844" s="2">
        <v>231.3</v>
      </c>
      <c r="C844" s="2">
        <v>847.9</v>
      </c>
      <c r="D844" s="2">
        <v>1.65</v>
      </c>
      <c r="E844" s="2">
        <v>0.97</v>
      </c>
      <c r="F844" s="2">
        <v>50.0</v>
      </c>
      <c r="G844" s="4">
        <v>44460.86775927083</v>
      </c>
      <c r="H844" s="8">
        <v>44460.0</v>
      </c>
    </row>
    <row r="845">
      <c r="A845" s="2">
        <v>3.76</v>
      </c>
      <c r="B845" s="2">
        <v>231.3</v>
      </c>
      <c r="C845" s="2">
        <v>848.0</v>
      </c>
      <c r="D845" s="2">
        <v>1.65</v>
      </c>
      <c r="E845" s="2">
        <v>0.97</v>
      </c>
      <c r="F845" s="2">
        <v>50.0</v>
      </c>
      <c r="G845" s="4">
        <v>44460.86786554398</v>
      </c>
      <c r="H845" s="8">
        <v>44460.0</v>
      </c>
    </row>
    <row r="846">
      <c r="A846" s="2">
        <v>3.76</v>
      </c>
      <c r="B846" s="2">
        <v>231.2</v>
      </c>
      <c r="C846" s="2">
        <v>848.1</v>
      </c>
      <c r="D846" s="2">
        <v>1.65</v>
      </c>
      <c r="E846" s="2">
        <v>0.98</v>
      </c>
      <c r="F846" s="2">
        <v>50.0</v>
      </c>
      <c r="G846" s="4">
        <v>44460.86797651621</v>
      </c>
      <c r="H846" s="8">
        <v>44460.0</v>
      </c>
    </row>
    <row r="847">
      <c r="A847" s="2">
        <v>3.76</v>
      </c>
      <c r="B847" s="2">
        <v>231.3</v>
      </c>
      <c r="C847" s="2">
        <v>848.2</v>
      </c>
      <c r="D847" s="2">
        <v>1.65</v>
      </c>
      <c r="E847" s="2">
        <v>0.97</v>
      </c>
      <c r="F847" s="2">
        <v>50.0</v>
      </c>
      <c r="G847" s="4">
        <v>44460.868077164356</v>
      </c>
      <c r="H847" s="8">
        <v>44460.0</v>
      </c>
    </row>
    <row r="848">
      <c r="A848" s="2">
        <v>3.76</v>
      </c>
      <c r="B848" s="2">
        <v>231.3</v>
      </c>
      <c r="C848" s="2">
        <v>848.4</v>
      </c>
      <c r="D848" s="2">
        <v>1.66</v>
      </c>
      <c r="E848" s="2">
        <v>0.97</v>
      </c>
      <c r="F848" s="2">
        <v>50.0</v>
      </c>
      <c r="G848" s="4">
        <v>44460.868181342594</v>
      </c>
      <c r="H848" s="8">
        <v>44460.0</v>
      </c>
    </row>
    <row r="849">
      <c r="A849" s="2">
        <v>3.76</v>
      </c>
      <c r="B849" s="2">
        <v>231.3</v>
      </c>
      <c r="C849" s="2">
        <v>848.4</v>
      </c>
      <c r="D849" s="2">
        <v>1.66</v>
      </c>
      <c r="E849" s="2">
        <v>0.98</v>
      </c>
      <c r="F849" s="2">
        <v>50.0</v>
      </c>
      <c r="G849" s="4">
        <v>44460.86829373843</v>
      </c>
      <c r="H849" s="8">
        <v>44460.0</v>
      </c>
    </row>
    <row r="850">
      <c r="A850" s="2">
        <v>3.76</v>
      </c>
      <c r="B850" s="2">
        <v>231.4</v>
      </c>
      <c r="C850" s="2">
        <v>848.6</v>
      </c>
      <c r="D850" s="2">
        <v>1.66</v>
      </c>
      <c r="E850" s="2">
        <v>0.98</v>
      </c>
      <c r="F850" s="2">
        <v>50.0</v>
      </c>
      <c r="G850" s="4">
        <v>44460.86839716435</v>
      </c>
      <c r="H850" s="8">
        <v>44460.0</v>
      </c>
    </row>
    <row r="851">
      <c r="A851" s="2">
        <v>3.76</v>
      </c>
      <c r="B851" s="2">
        <v>231.4</v>
      </c>
      <c r="C851" s="2">
        <v>848.7</v>
      </c>
      <c r="D851" s="2">
        <v>1.66</v>
      </c>
      <c r="E851" s="2">
        <v>0.97</v>
      </c>
      <c r="F851" s="2">
        <v>50.0</v>
      </c>
      <c r="G851" s="4">
        <v>44460.86851118055</v>
      </c>
      <c r="H851" s="8">
        <v>44460.0</v>
      </c>
    </row>
    <row r="852">
      <c r="A852" s="2">
        <v>3.76</v>
      </c>
      <c r="B852" s="2">
        <v>231.3</v>
      </c>
      <c r="C852" s="2">
        <v>848.8</v>
      </c>
      <c r="D852" s="2">
        <v>1.66</v>
      </c>
      <c r="E852" s="2">
        <v>0.97</v>
      </c>
      <c r="F852" s="2">
        <v>50.0</v>
      </c>
      <c r="G852" s="4">
        <v>44460.86861524306</v>
      </c>
      <c r="H852" s="8">
        <v>44460.0</v>
      </c>
    </row>
    <row r="853">
      <c r="A853" s="2">
        <v>3.76</v>
      </c>
      <c r="B853" s="2">
        <v>231.3</v>
      </c>
      <c r="C853" s="2">
        <v>848.9</v>
      </c>
      <c r="D853" s="2">
        <v>1.67</v>
      </c>
      <c r="E853" s="2">
        <v>0.98</v>
      </c>
      <c r="F853" s="2">
        <v>50.0</v>
      </c>
      <c r="G853" s="4">
        <v>44460.86871490741</v>
      </c>
      <c r="H853" s="8">
        <v>44460.0</v>
      </c>
    </row>
    <row r="854">
      <c r="A854" s="2">
        <v>3.77</v>
      </c>
      <c r="B854" s="2">
        <v>231.3</v>
      </c>
      <c r="C854" s="2">
        <v>849.0</v>
      </c>
      <c r="D854" s="2">
        <v>1.67</v>
      </c>
      <c r="E854" s="2">
        <v>0.97</v>
      </c>
      <c r="F854" s="2">
        <v>50.0</v>
      </c>
      <c r="G854" s="4">
        <v>44460.86881475695</v>
      </c>
      <c r="H854" s="8">
        <v>44460.0</v>
      </c>
    </row>
    <row r="855">
      <c r="A855" s="2">
        <v>3.77</v>
      </c>
      <c r="B855" s="2">
        <v>231.3</v>
      </c>
      <c r="C855" s="2">
        <v>849.3</v>
      </c>
      <c r="D855" s="2">
        <v>1.67</v>
      </c>
      <c r="E855" s="2">
        <v>0.97</v>
      </c>
      <c r="F855" s="2">
        <v>50.0</v>
      </c>
      <c r="G855" s="4">
        <v>44460.86891488426</v>
      </c>
      <c r="H855" s="8">
        <v>44460.0</v>
      </c>
    </row>
    <row r="856">
      <c r="A856" s="2">
        <v>3.77</v>
      </c>
      <c r="B856" s="2">
        <v>231.3</v>
      </c>
      <c r="C856" s="2">
        <v>849.3</v>
      </c>
      <c r="D856" s="2">
        <v>1.67</v>
      </c>
      <c r="E856" s="2">
        <v>0.98</v>
      </c>
      <c r="F856" s="2">
        <v>49.9</v>
      </c>
      <c r="G856" s="4">
        <v>44460.86901707176</v>
      </c>
      <c r="H856" s="8">
        <v>44460.0</v>
      </c>
    </row>
    <row r="857">
      <c r="A857" s="2">
        <v>3.77</v>
      </c>
      <c r="B857" s="2">
        <v>231.3</v>
      </c>
      <c r="C857" s="2">
        <v>849.3</v>
      </c>
      <c r="D857" s="2">
        <v>1.67</v>
      </c>
      <c r="E857" s="2">
        <v>0.97</v>
      </c>
      <c r="F857" s="2">
        <v>49.9</v>
      </c>
      <c r="G857" s="4">
        <v>44460.869118738425</v>
      </c>
      <c r="H857" s="8">
        <v>44460.0</v>
      </c>
    </row>
    <row r="858">
      <c r="A858" s="2">
        <v>3.77</v>
      </c>
      <c r="B858" s="2">
        <v>231.4</v>
      </c>
      <c r="C858" s="2">
        <v>849.5</v>
      </c>
      <c r="D858" s="2">
        <v>1.68</v>
      </c>
      <c r="E858" s="2">
        <v>0.97</v>
      </c>
      <c r="F858" s="2">
        <v>50.0</v>
      </c>
      <c r="G858" s="4">
        <v>44460.869218645836</v>
      </c>
      <c r="H858" s="8">
        <v>44460.0</v>
      </c>
    </row>
    <row r="859">
      <c r="A859" s="2">
        <v>3.76</v>
      </c>
      <c r="B859" s="2">
        <v>231.6</v>
      </c>
      <c r="C859" s="2">
        <v>849.6</v>
      </c>
      <c r="D859" s="2">
        <v>1.68</v>
      </c>
      <c r="E859" s="2">
        <v>0.97</v>
      </c>
      <c r="F859" s="2">
        <v>49.9</v>
      </c>
      <c r="G859" s="4">
        <v>44460.86931940972</v>
      </c>
      <c r="H859" s="8">
        <v>44460.0</v>
      </c>
    </row>
    <row r="860">
      <c r="A860" s="2">
        <v>3.76</v>
      </c>
      <c r="B860" s="2">
        <v>231.5</v>
      </c>
      <c r="C860" s="2">
        <v>849.6</v>
      </c>
      <c r="D860" s="2">
        <v>1.68</v>
      </c>
      <c r="E860" s="2">
        <v>0.98</v>
      </c>
      <c r="F860" s="2">
        <v>49.9</v>
      </c>
      <c r="G860" s="4">
        <v>44460.8694224537</v>
      </c>
      <c r="H860" s="8">
        <v>44460.0</v>
      </c>
    </row>
    <row r="861">
      <c r="A861" s="2">
        <v>3.76</v>
      </c>
      <c r="B861" s="2">
        <v>231.7</v>
      </c>
      <c r="C861" s="2">
        <v>849.8</v>
      </c>
      <c r="D861" s="2">
        <v>1.68</v>
      </c>
      <c r="E861" s="2">
        <v>0.97</v>
      </c>
      <c r="F861" s="2">
        <v>49.9</v>
      </c>
      <c r="G861" s="4">
        <v>44460.86952775463</v>
      </c>
      <c r="H861" s="8">
        <v>44460.0</v>
      </c>
    </row>
    <row r="862">
      <c r="A862" s="2">
        <v>3.76</v>
      </c>
      <c r="B862" s="2">
        <v>231.7</v>
      </c>
      <c r="C862" s="2">
        <v>849.9</v>
      </c>
      <c r="D862" s="2">
        <v>1.69</v>
      </c>
      <c r="E862" s="2">
        <v>0.97</v>
      </c>
      <c r="F862" s="2">
        <v>49.9</v>
      </c>
      <c r="G862" s="4">
        <v>44460.86963207176</v>
      </c>
      <c r="H862" s="8">
        <v>44460.0</v>
      </c>
    </row>
    <row r="863">
      <c r="A863" s="2">
        <v>3.77</v>
      </c>
      <c r="B863" s="2">
        <v>231.6</v>
      </c>
      <c r="C863" s="2">
        <v>850.1</v>
      </c>
      <c r="D863" s="2">
        <v>1.69</v>
      </c>
      <c r="E863" s="2">
        <v>0.97</v>
      </c>
      <c r="F863" s="2">
        <v>49.9</v>
      </c>
      <c r="G863" s="4">
        <v>44460.86974141204</v>
      </c>
      <c r="H863" s="8">
        <v>44460.0</v>
      </c>
    </row>
    <row r="864">
      <c r="A864" s="2">
        <v>3.76</v>
      </c>
      <c r="B864" s="2">
        <v>231.7</v>
      </c>
      <c r="C864" s="2">
        <v>850.1</v>
      </c>
      <c r="D864" s="2">
        <v>1.69</v>
      </c>
      <c r="E864" s="2">
        <v>0.97</v>
      </c>
      <c r="F864" s="2">
        <v>49.9</v>
      </c>
      <c r="G864" s="4">
        <v>44460.869850138886</v>
      </c>
      <c r="H864" s="8">
        <v>44460.0</v>
      </c>
    </row>
    <row r="865">
      <c r="A865" s="2">
        <v>3.77</v>
      </c>
      <c r="B865" s="2">
        <v>231.5</v>
      </c>
      <c r="C865" s="2">
        <v>850.3</v>
      </c>
      <c r="D865" s="2">
        <v>1.69</v>
      </c>
      <c r="E865" s="2">
        <v>0.98</v>
      </c>
      <c r="F865" s="2">
        <v>50.0</v>
      </c>
      <c r="G865" s="4">
        <v>44460.86995409722</v>
      </c>
      <c r="H865" s="8">
        <v>44460.0</v>
      </c>
    </row>
    <row r="866">
      <c r="A866" s="2">
        <v>3.77</v>
      </c>
      <c r="B866" s="2">
        <v>231.6</v>
      </c>
      <c r="C866" s="2">
        <v>850.4</v>
      </c>
      <c r="D866" s="2">
        <v>1.7</v>
      </c>
      <c r="E866" s="2">
        <v>0.97</v>
      </c>
      <c r="F866" s="2">
        <v>50.0</v>
      </c>
      <c r="G866" s="4">
        <v>44460.87005121528</v>
      </c>
      <c r="H866" s="8">
        <v>44460.0</v>
      </c>
    </row>
    <row r="867">
      <c r="A867" s="2">
        <v>3.77</v>
      </c>
      <c r="B867" s="2">
        <v>231.7</v>
      </c>
      <c r="C867" s="2">
        <v>850.4</v>
      </c>
      <c r="D867" s="2">
        <v>1.7</v>
      </c>
      <c r="E867" s="2">
        <v>0.97</v>
      </c>
      <c r="F867" s="2">
        <v>50.0</v>
      </c>
      <c r="G867" s="4">
        <v>44460.870156122684</v>
      </c>
      <c r="H867" s="8">
        <v>44460.0</v>
      </c>
    </row>
    <row r="868">
      <c r="A868" s="2">
        <v>3.77</v>
      </c>
      <c r="B868" s="2">
        <v>231.6</v>
      </c>
      <c r="C868" s="2">
        <v>850.6</v>
      </c>
      <c r="D868" s="2">
        <v>1.7</v>
      </c>
      <c r="E868" s="2">
        <v>0.97</v>
      </c>
      <c r="F868" s="2">
        <v>50.0</v>
      </c>
      <c r="G868" s="4">
        <v>44460.87026255787</v>
      </c>
      <c r="H868" s="8">
        <v>44460.0</v>
      </c>
    </row>
    <row r="869">
      <c r="A869" s="2">
        <v>3.77</v>
      </c>
      <c r="B869" s="2">
        <v>231.6</v>
      </c>
      <c r="C869" s="2">
        <v>850.8</v>
      </c>
      <c r="D869" s="2">
        <v>1.7</v>
      </c>
      <c r="E869" s="2">
        <v>0.97</v>
      </c>
      <c r="F869" s="2">
        <v>50.0</v>
      </c>
      <c r="G869" s="4">
        <v>44460.8703643287</v>
      </c>
      <c r="H869" s="8">
        <v>44460.0</v>
      </c>
    </row>
    <row r="870">
      <c r="A870" s="2">
        <v>3.77</v>
      </c>
      <c r="B870" s="2">
        <v>231.6</v>
      </c>
      <c r="C870" s="2">
        <v>850.9</v>
      </c>
      <c r="D870" s="2">
        <v>1.7</v>
      </c>
      <c r="E870" s="2">
        <v>0.98</v>
      </c>
      <c r="F870" s="2">
        <v>50.0</v>
      </c>
      <c r="G870" s="4">
        <v>44460.87047521991</v>
      </c>
      <c r="H870" s="8">
        <v>44460.0</v>
      </c>
    </row>
    <row r="871">
      <c r="A871" s="2">
        <v>3.77</v>
      </c>
      <c r="B871" s="2">
        <v>231.6</v>
      </c>
      <c r="C871" s="2">
        <v>851.0</v>
      </c>
      <c r="D871" s="2">
        <v>1.71</v>
      </c>
      <c r="E871" s="2">
        <v>0.97</v>
      </c>
      <c r="F871" s="2">
        <v>50.0</v>
      </c>
      <c r="G871" s="4">
        <v>44460.87058325231</v>
      </c>
      <c r="H871" s="8">
        <v>44460.0</v>
      </c>
    </row>
    <row r="872">
      <c r="A872" s="2">
        <v>3.77</v>
      </c>
      <c r="B872" s="2">
        <v>231.6</v>
      </c>
      <c r="C872" s="2">
        <v>851.1</v>
      </c>
      <c r="D872" s="2">
        <v>1.71</v>
      </c>
      <c r="E872" s="2">
        <v>0.97</v>
      </c>
      <c r="F872" s="2">
        <v>50.0</v>
      </c>
      <c r="G872" s="4">
        <v>44460.87068392361</v>
      </c>
      <c r="H872" s="8">
        <v>44460.0</v>
      </c>
    </row>
    <row r="873">
      <c r="A873" s="2">
        <v>3.78</v>
      </c>
      <c r="B873" s="2">
        <v>231.3</v>
      </c>
      <c r="C873" s="2">
        <v>851.2</v>
      </c>
      <c r="D873" s="2">
        <v>1.71</v>
      </c>
      <c r="E873" s="2">
        <v>0.97</v>
      </c>
      <c r="F873" s="2">
        <v>50.0</v>
      </c>
      <c r="G873" s="4">
        <v>44460.870788252316</v>
      </c>
      <c r="H873" s="8">
        <v>44460.0</v>
      </c>
    </row>
    <row r="874">
      <c r="A874" s="2">
        <v>3.8</v>
      </c>
      <c r="B874" s="2">
        <v>230.0</v>
      </c>
      <c r="C874" s="2">
        <v>851.6</v>
      </c>
      <c r="D874" s="2">
        <v>1.71</v>
      </c>
      <c r="E874" s="2">
        <v>0.98</v>
      </c>
      <c r="F874" s="2">
        <v>50.0</v>
      </c>
      <c r="G874" s="4">
        <v>44460.87089435185</v>
      </c>
      <c r="H874" s="8">
        <v>44460.0</v>
      </c>
    </row>
    <row r="875">
      <c r="A875" s="2">
        <v>3.8</v>
      </c>
      <c r="B875" s="2">
        <v>229.9</v>
      </c>
      <c r="C875" s="2">
        <v>851.7</v>
      </c>
      <c r="D875" s="2">
        <v>1.71</v>
      </c>
      <c r="E875" s="2">
        <v>0.98</v>
      </c>
      <c r="F875" s="2">
        <v>50.0</v>
      </c>
      <c r="G875" s="4">
        <v>44460.87099805556</v>
      </c>
      <c r="H875" s="8">
        <v>44460.0</v>
      </c>
    </row>
    <row r="876">
      <c r="A876" s="2">
        <v>3.8</v>
      </c>
      <c r="B876" s="2">
        <v>230.0</v>
      </c>
      <c r="C876" s="2">
        <v>851.9</v>
      </c>
      <c r="D876" s="2">
        <v>1.72</v>
      </c>
      <c r="E876" s="2">
        <v>0.97</v>
      </c>
      <c r="F876" s="2">
        <v>50.0</v>
      </c>
      <c r="G876" s="4">
        <v>44460.87110099537</v>
      </c>
      <c r="H876" s="8">
        <v>44460.0</v>
      </c>
    </row>
    <row r="877">
      <c r="A877" s="2">
        <v>3.8</v>
      </c>
      <c r="B877" s="2">
        <v>229.8</v>
      </c>
      <c r="C877" s="2">
        <v>852.0</v>
      </c>
      <c r="D877" s="2">
        <v>1.72</v>
      </c>
      <c r="E877" s="2">
        <v>0.97</v>
      </c>
      <c r="F877" s="2">
        <v>49.9</v>
      </c>
      <c r="G877" s="4">
        <v>44460.8712097338</v>
      </c>
      <c r="H877" s="8">
        <v>44460.0</v>
      </c>
    </row>
    <row r="878">
      <c r="A878" s="2">
        <v>3.8</v>
      </c>
      <c r="B878" s="2">
        <v>229.8</v>
      </c>
      <c r="C878" s="2">
        <v>852.0</v>
      </c>
      <c r="D878" s="2">
        <v>1.72</v>
      </c>
      <c r="E878" s="2">
        <v>0.97</v>
      </c>
      <c r="F878" s="2">
        <v>50.0</v>
      </c>
      <c r="G878" s="4">
        <v>44460.871316122684</v>
      </c>
      <c r="H878" s="8">
        <v>44460.0</v>
      </c>
    </row>
    <row r="879">
      <c r="A879" s="2">
        <v>3.8</v>
      </c>
      <c r="B879" s="2">
        <v>229.8</v>
      </c>
      <c r="C879" s="2">
        <v>852.2</v>
      </c>
      <c r="D879" s="2">
        <v>1.72</v>
      </c>
      <c r="E879" s="2">
        <v>0.98</v>
      </c>
      <c r="F879" s="2">
        <v>50.0</v>
      </c>
      <c r="G879" s="4">
        <v>44460.87141738426</v>
      </c>
      <c r="H879" s="8">
        <v>44460.0</v>
      </c>
    </row>
    <row r="880">
      <c r="A880" s="2">
        <v>3.8</v>
      </c>
      <c r="B880" s="2">
        <v>230.0</v>
      </c>
      <c r="C880" s="2">
        <v>852.3</v>
      </c>
      <c r="D880" s="2">
        <v>1.73</v>
      </c>
      <c r="E880" s="2">
        <v>0.98</v>
      </c>
      <c r="F880" s="2">
        <v>50.0</v>
      </c>
      <c r="G880" s="4">
        <v>44460.87152115741</v>
      </c>
      <c r="H880" s="8">
        <v>44460.0</v>
      </c>
    </row>
    <row r="881">
      <c r="A881" s="2">
        <v>3.8</v>
      </c>
      <c r="B881" s="2">
        <v>230.1</v>
      </c>
      <c r="C881" s="2">
        <v>852.4</v>
      </c>
      <c r="D881" s="2">
        <v>1.73</v>
      </c>
      <c r="E881" s="2">
        <v>0.98</v>
      </c>
      <c r="F881" s="2">
        <v>50.0</v>
      </c>
      <c r="G881" s="4">
        <v>44460.871623240746</v>
      </c>
      <c r="H881" s="8">
        <v>44460.0</v>
      </c>
    </row>
    <row r="882">
      <c r="A882" s="2">
        <v>3.8</v>
      </c>
      <c r="B882" s="2">
        <v>230.1</v>
      </c>
      <c r="C882" s="2">
        <v>852.5</v>
      </c>
      <c r="D882" s="2">
        <v>1.73</v>
      </c>
      <c r="E882" s="2">
        <v>0.98</v>
      </c>
      <c r="F882" s="2">
        <v>50.0</v>
      </c>
      <c r="G882" s="4">
        <v>44460.87172859954</v>
      </c>
      <c r="H882" s="8">
        <v>44460.0</v>
      </c>
    </row>
    <row r="883">
      <c r="A883" s="2">
        <v>3.8</v>
      </c>
      <c r="B883" s="2">
        <v>230.2</v>
      </c>
      <c r="C883" s="2">
        <v>852.6</v>
      </c>
      <c r="D883" s="2">
        <v>1.73</v>
      </c>
      <c r="E883" s="2">
        <v>0.97</v>
      </c>
      <c r="F883" s="2">
        <v>50.0</v>
      </c>
      <c r="G883" s="4">
        <v>44460.87183532407</v>
      </c>
      <c r="H883" s="8">
        <v>44460.0</v>
      </c>
    </row>
    <row r="884">
      <c r="A884" s="2">
        <v>3.8</v>
      </c>
      <c r="B884" s="2">
        <v>230.2</v>
      </c>
      <c r="C884" s="2">
        <v>852.7</v>
      </c>
      <c r="D884" s="2">
        <v>1.73</v>
      </c>
      <c r="E884" s="2">
        <v>0.98</v>
      </c>
      <c r="F884" s="2">
        <v>50.0</v>
      </c>
      <c r="G884" s="4">
        <v>44460.87193946759</v>
      </c>
      <c r="H884" s="8">
        <v>44460.0</v>
      </c>
    </row>
    <row r="885">
      <c r="A885" s="2">
        <v>3.8</v>
      </c>
      <c r="B885" s="2">
        <v>230.3</v>
      </c>
      <c r="C885" s="2">
        <v>852.9</v>
      </c>
      <c r="D885" s="2">
        <v>1.74</v>
      </c>
      <c r="E885" s="2">
        <v>0.98</v>
      </c>
      <c r="F885" s="2">
        <v>50.0</v>
      </c>
      <c r="G885" s="4">
        <v>44460.87204474537</v>
      </c>
      <c r="H885" s="8">
        <v>44460.0</v>
      </c>
    </row>
    <row r="886">
      <c r="A886" s="2">
        <v>3.8</v>
      </c>
      <c r="B886" s="2">
        <v>230.4</v>
      </c>
      <c r="C886" s="2">
        <v>852.9</v>
      </c>
      <c r="D886" s="2">
        <v>1.74</v>
      </c>
      <c r="E886" s="2">
        <v>0.97</v>
      </c>
      <c r="F886" s="2">
        <v>50.0</v>
      </c>
      <c r="G886" s="4">
        <v>44460.87214673611</v>
      </c>
      <c r="H886" s="8">
        <v>44460.0</v>
      </c>
    </row>
    <row r="887">
      <c r="A887" s="2">
        <v>3.8</v>
      </c>
      <c r="B887" s="2">
        <v>230.3</v>
      </c>
      <c r="C887" s="2">
        <v>853.1</v>
      </c>
      <c r="D887" s="2">
        <v>1.74</v>
      </c>
      <c r="E887" s="2">
        <v>0.98</v>
      </c>
      <c r="F887" s="2">
        <v>50.0</v>
      </c>
      <c r="G887" s="4">
        <v>44460.87225634259</v>
      </c>
      <c r="H887" s="8">
        <v>44460.0</v>
      </c>
    </row>
    <row r="888">
      <c r="A888" s="2">
        <v>3.8</v>
      </c>
      <c r="B888" s="2">
        <v>230.3</v>
      </c>
      <c r="C888" s="2">
        <v>853.2</v>
      </c>
      <c r="D888" s="2">
        <v>1.74</v>
      </c>
      <c r="E888" s="2">
        <v>0.97</v>
      </c>
      <c r="F888" s="2">
        <v>50.0</v>
      </c>
      <c r="G888" s="4">
        <v>44460.87236309028</v>
      </c>
      <c r="H888" s="8">
        <v>44460.0</v>
      </c>
    </row>
    <row r="889">
      <c r="A889" s="2">
        <v>3.8</v>
      </c>
      <c r="B889" s="2">
        <v>230.3</v>
      </c>
      <c r="C889" s="2">
        <v>853.2</v>
      </c>
      <c r="D889" s="2">
        <v>1.74</v>
      </c>
      <c r="E889" s="2">
        <v>0.98</v>
      </c>
      <c r="F889" s="2">
        <v>50.0</v>
      </c>
      <c r="G889" s="4">
        <v>44460.87246719908</v>
      </c>
      <c r="H889" s="8">
        <v>44460.0</v>
      </c>
    </row>
    <row r="890">
      <c r="A890" s="2">
        <v>3.8</v>
      </c>
      <c r="B890" s="2">
        <v>230.1</v>
      </c>
      <c r="C890" s="2">
        <v>853.5</v>
      </c>
      <c r="D890" s="2">
        <v>1.75</v>
      </c>
      <c r="E890" s="2">
        <v>0.98</v>
      </c>
      <c r="F890" s="2">
        <v>50.0</v>
      </c>
      <c r="G890" s="4">
        <v>44460.87256880787</v>
      </c>
      <c r="H890" s="8">
        <v>44460.0</v>
      </c>
    </row>
    <row r="891">
      <c r="A891" s="2">
        <v>3.81</v>
      </c>
      <c r="B891" s="2">
        <v>230.0</v>
      </c>
      <c r="C891" s="2">
        <v>853.6</v>
      </c>
      <c r="D891" s="2">
        <v>1.75</v>
      </c>
      <c r="E891" s="2">
        <v>0.98</v>
      </c>
      <c r="F891" s="2">
        <v>50.0</v>
      </c>
      <c r="G891" s="4">
        <v>44460.872673252314</v>
      </c>
      <c r="H891" s="8">
        <v>44460.0</v>
      </c>
    </row>
    <row r="892">
      <c r="A892" s="2">
        <v>3.81</v>
      </c>
      <c r="B892" s="2">
        <v>229.9</v>
      </c>
      <c r="C892" s="2">
        <v>853.8</v>
      </c>
      <c r="D892" s="2">
        <v>1.75</v>
      </c>
      <c r="E892" s="2">
        <v>0.98</v>
      </c>
      <c r="F892" s="2">
        <v>50.0</v>
      </c>
      <c r="G892" s="4">
        <v>44460.87277472222</v>
      </c>
      <c r="H892" s="8">
        <v>44460.0</v>
      </c>
    </row>
    <row r="893">
      <c r="A893" s="2">
        <v>3.81</v>
      </c>
      <c r="B893" s="2">
        <v>230.0</v>
      </c>
      <c r="C893" s="2">
        <v>853.9</v>
      </c>
      <c r="D893" s="2">
        <v>1.75</v>
      </c>
      <c r="E893" s="2">
        <v>0.97</v>
      </c>
      <c r="F893" s="2">
        <v>50.0</v>
      </c>
      <c r="G893" s="4">
        <v>44460.87288728009</v>
      </c>
      <c r="H893" s="8">
        <v>44460.0</v>
      </c>
    </row>
    <row r="894">
      <c r="A894" s="2">
        <v>3.81</v>
      </c>
      <c r="B894" s="2">
        <v>229.8</v>
      </c>
      <c r="C894" s="2">
        <v>854.0</v>
      </c>
      <c r="D894" s="2">
        <v>1.75</v>
      </c>
      <c r="E894" s="2">
        <v>0.97</v>
      </c>
      <c r="F894" s="2">
        <v>50.0</v>
      </c>
      <c r="G894" s="4">
        <v>44460.87299408564</v>
      </c>
      <c r="H894" s="8">
        <v>44460.0</v>
      </c>
    </row>
    <row r="895">
      <c r="A895" s="2">
        <v>3.82</v>
      </c>
      <c r="B895" s="2">
        <v>229.4</v>
      </c>
      <c r="C895" s="2">
        <v>854.1</v>
      </c>
      <c r="D895" s="2">
        <v>1.76</v>
      </c>
      <c r="E895" s="2">
        <v>0.98</v>
      </c>
      <c r="F895" s="2">
        <v>50.0</v>
      </c>
      <c r="G895" s="4">
        <v>44460.87309540509</v>
      </c>
      <c r="H895" s="8">
        <v>44460.0</v>
      </c>
    </row>
    <row r="896">
      <c r="A896" s="2">
        <v>3.82</v>
      </c>
      <c r="B896" s="2">
        <v>229.3</v>
      </c>
      <c r="C896" s="2">
        <v>854.2</v>
      </c>
      <c r="D896" s="2">
        <v>1.76</v>
      </c>
      <c r="E896" s="2">
        <v>0.98</v>
      </c>
      <c r="F896" s="2">
        <v>49.9</v>
      </c>
      <c r="G896" s="4">
        <v>44460.8731965162</v>
      </c>
      <c r="H896" s="8">
        <v>44460.0</v>
      </c>
    </row>
    <row r="897">
      <c r="A897" s="2">
        <v>3.82</v>
      </c>
      <c r="B897" s="2">
        <v>229.3</v>
      </c>
      <c r="C897" s="2">
        <v>854.4</v>
      </c>
      <c r="D897" s="2">
        <v>1.76</v>
      </c>
      <c r="E897" s="2">
        <v>0.98</v>
      </c>
      <c r="F897" s="2">
        <v>49.9</v>
      </c>
      <c r="G897" s="4">
        <v>44460.87329664352</v>
      </c>
      <c r="H897" s="8">
        <v>44460.0</v>
      </c>
    </row>
    <row r="898">
      <c r="A898" s="2">
        <v>3.82</v>
      </c>
      <c r="B898" s="2">
        <v>229.2</v>
      </c>
      <c r="C898" s="2">
        <v>854.5</v>
      </c>
      <c r="D898" s="2">
        <v>1.76</v>
      </c>
      <c r="E898" s="2">
        <v>0.97</v>
      </c>
      <c r="F898" s="2">
        <v>49.9</v>
      </c>
      <c r="G898" s="4">
        <v>44460.87339922454</v>
      </c>
      <c r="H898" s="8">
        <v>44460.0</v>
      </c>
    </row>
    <row r="899">
      <c r="A899" s="2">
        <v>3.82</v>
      </c>
      <c r="B899" s="2">
        <v>229.3</v>
      </c>
      <c r="C899" s="2">
        <v>854.6</v>
      </c>
      <c r="D899" s="2">
        <v>1.76</v>
      </c>
      <c r="E899" s="2">
        <v>0.97</v>
      </c>
      <c r="F899" s="2">
        <v>49.9</v>
      </c>
      <c r="G899" s="4">
        <v>44460.87350761574</v>
      </c>
      <c r="H899" s="8">
        <v>44460.0</v>
      </c>
    </row>
    <row r="900">
      <c r="A900" s="2">
        <v>3.82</v>
      </c>
      <c r="B900" s="2">
        <v>229.4</v>
      </c>
      <c r="C900" s="2">
        <v>854.7</v>
      </c>
      <c r="D900" s="2">
        <v>1.77</v>
      </c>
      <c r="E900" s="2">
        <v>0.98</v>
      </c>
      <c r="F900" s="2">
        <v>49.9</v>
      </c>
      <c r="G900" s="4">
        <v>44460.873612337964</v>
      </c>
      <c r="H900" s="8">
        <v>44460.0</v>
      </c>
    </row>
    <row r="901">
      <c r="A901" s="2">
        <v>3.82</v>
      </c>
      <c r="B901" s="2">
        <v>229.6</v>
      </c>
      <c r="C901" s="2">
        <v>854.8</v>
      </c>
      <c r="D901" s="2">
        <v>1.77</v>
      </c>
      <c r="E901" s="2">
        <v>0.98</v>
      </c>
      <c r="F901" s="2">
        <v>50.0</v>
      </c>
      <c r="G901" s="4">
        <v>44460.873721875</v>
      </c>
      <c r="H901" s="8">
        <v>44460.0</v>
      </c>
    </row>
    <row r="902">
      <c r="A902" s="2">
        <v>3.82</v>
      </c>
      <c r="B902" s="2">
        <v>229.6</v>
      </c>
      <c r="C902" s="2">
        <v>854.9</v>
      </c>
      <c r="D902" s="2">
        <v>1.77</v>
      </c>
      <c r="E902" s="2">
        <v>0.97</v>
      </c>
      <c r="F902" s="2">
        <v>50.0</v>
      </c>
      <c r="G902" s="4">
        <v>44460.87382997685</v>
      </c>
      <c r="H902" s="8">
        <v>44460.0</v>
      </c>
    </row>
    <row r="903">
      <c r="A903" s="2">
        <v>3.82</v>
      </c>
      <c r="B903" s="2">
        <v>229.7</v>
      </c>
      <c r="C903" s="2">
        <v>855.1</v>
      </c>
      <c r="D903" s="2">
        <v>1.77</v>
      </c>
      <c r="E903" s="2">
        <v>0.98</v>
      </c>
      <c r="F903" s="2">
        <v>50.0</v>
      </c>
      <c r="G903" s="4">
        <v>44460.87393215278</v>
      </c>
      <c r="H903" s="8">
        <v>44460.0</v>
      </c>
    </row>
    <row r="904">
      <c r="A904" s="2">
        <v>3.82</v>
      </c>
      <c r="B904" s="2">
        <v>229.6</v>
      </c>
      <c r="C904" s="2">
        <v>855.1</v>
      </c>
      <c r="D904" s="2">
        <v>1.78</v>
      </c>
      <c r="E904" s="2">
        <v>0.97</v>
      </c>
      <c r="F904" s="2">
        <v>50.0</v>
      </c>
      <c r="G904" s="4">
        <v>44460.874042361116</v>
      </c>
      <c r="H904" s="8">
        <v>44460.0</v>
      </c>
    </row>
    <row r="905">
      <c r="A905" s="2">
        <v>3.82</v>
      </c>
      <c r="B905" s="2">
        <v>229.7</v>
      </c>
      <c r="C905" s="2">
        <v>855.3</v>
      </c>
      <c r="D905" s="2">
        <v>1.78</v>
      </c>
      <c r="E905" s="2">
        <v>0.98</v>
      </c>
      <c r="F905" s="2">
        <v>50.0</v>
      </c>
      <c r="G905" s="4">
        <v>44460.87414850695</v>
      </c>
      <c r="H905" s="8">
        <v>44460.0</v>
      </c>
    </row>
    <row r="906">
      <c r="A906" s="2">
        <v>3.82</v>
      </c>
      <c r="B906" s="2">
        <v>229.6</v>
      </c>
      <c r="C906" s="2">
        <v>855.4</v>
      </c>
      <c r="D906" s="2">
        <v>1.78</v>
      </c>
      <c r="E906" s="2">
        <v>0.98</v>
      </c>
      <c r="F906" s="2">
        <v>50.0</v>
      </c>
      <c r="G906" s="4">
        <v>44460.874257511576</v>
      </c>
      <c r="H906" s="8">
        <v>44460.0</v>
      </c>
    </row>
    <row r="907">
      <c r="A907" s="2">
        <v>3.82</v>
      </c>
      <c r="B907" s="2">
        <v>229.5</v>
      </c>
      <c r="C907" s="2">
        <v>855.5</v>
      </c>
      <c r="D907" s="2">
        <v>1.78</v>
      </c>
      <c r="E907" s="2">
        <v>0.98</v>
      </c>
      <c r="F907" s="2">
        <v>50.0</v>
      </c>
      <c r="G907" s="4">
        <v>44460.874362187504</v>
      </c>
      <c r="H907" s="8">
        <v>44460.0</v>
      </c>
    </row>
    <row r="908">
      <c r="A908" s="2">
        <v>3.82</v>
      </c>
      <c r="B908" s="2">
        <v>229.6</v>
      </c>
      <c r="C908" s="2">
        <v>855.7</v>
      </c>
      <c r="D908" s="2">
        <v>1.78</v>
      </c>
      <c r="E908" s="2">
        <v>0.98</v>
      </c>
      <c r="F908" s="2">
        <v>50.0</v>
      </c>
      <c r="G908" s="4">
        <v>44460.8744655787</v>
      </c>
      <c r="H908" s="8">
        <v>44460.0</v>
      </c>
    </row>
    <row r="909">
      <c r="A909" s="2">
        <v>3.82</v>
      </c>
      <c r="B909" s="2">
        <v>229.6</v>
      </c>
      <c r="C909" s="2">
        <v>855.8</v>
      </c>
      <c r="D909" s="2">
        <v>1.79</v>
      </c>
      <c r="E909" s="2">
        <v>0.98</v>
      </c>
      <c r="F909" s="2">
        <v>50.0</v>
      </c>
      <c r="G909" s="4">
        <v>44460.874569872685</v>
      </c>
      <c r="H909" s="8">
        <v>44460.0</v>
      </c>
    </row>
    <row r="910">
      <c r="A910" s="2">
        <v>3.82</v>
      </c>
      <c r="B910" s="2">
        <v>229.7</v>
      </c>
      <c r="C910" s="2">
        <v>855.9</v>
      </c>
      <c r="D910" s="2">
        <v>1.79</v>
      </c>
      <c r="E910" s="2">
        <v>0.98</v>
      </c>
      <c r="F910" s="2">
        <v>50.0</v>
      </c>
      <c r="G910" s="4">
        <v>44460.87467936343</v>
      </c>
      <c r="H910" s="8">
        <v>44460.0</v>
      </c>
    </row>
    <row r="911">
      <c r="A911" s="2">
        <v>3.82</v>
      </c>
      <c r="B911" s="2">
        <v>229.7</v>
      </c>
      <c r="C911" s="2">
        <v>856.1</v>
      </c>
      <c r="D911" s="2">
        <v>1.79</v>
      </c>
      <c r="E911" s="2">
        <v>0.97</v>
      </c>
      <c r="F911" s="2">
        <v>50.0</v>
      </c>
      <c r="G911" s="4">
        <v>44460.87477991898</v>
      </c>
      <c r="H911" s="8">
        <v>44460.0</v>
      </c>
    </row>
    <row r="912">
      <c r="A912" s="2">
        <v>3.82</v>
      </c>
      <c r="B912" s="2">
        <v>229.7</v>
      </c>
      <c r="C912" s="2">
        <v>856.2</v>
      </c>
      <c r="D912" s="2">
        <v>1.79</v>
      </c>
      <c r="E912" s="2">
        <v>0.98</v>
      </c>
      <c r="F912" s="2">
        <v>50.0</v>
      </c>
      <c r="G912" s="4">
        <v>44460.87490134259</v>
      </c>
      <c r="H912" s="8">
        <v>44460.0</v>
      </c>
    </row>
    <row r="913">
      <c r="A913" s="2">
        <v>3.82</v>
      </c>
      <c r="B913" s="2">
        <v>229.6</v>
      </c>
      <c r="C913" s="2">
        <v>856.3</v>
      </c>
      <c r="D913" s="2">
        <v>1.8</v>
      </c>
      <c r="E913" s="2">
        <v>0.98</v>
      </c>
      <c r="F913" s="2">
        <v>49.9</v>
      </c>
      <c r="G913" s="4">
        <v>44460.87501846065</v>
      </c>
      <c r="H913" s="8">
        <v>44460.0</v>
      </c>
    </row>
    <row r="914">
      <c r="A914" s="2">
        <v>3.83</v>
      </c>
      <c r="B914" s="2">
        <v>229.6</v>
      </c>
      <c r="C914" s="2">
        <v>856.4</v>
      </c>
      <c r="D914" s="2">
        <v>1.8</v>
      </c>
      <c r="E914" s="2">
        <v>0.98</v>
      </c>
      <c r="F914" s="2">
        <v>50.0</v>
      </c>
      <c r="G914" s="4">
        <v>44460.875119606484</v>
      </c>
      <c r="H914" s="8">
        <v>44460.0</v>
      </c>
    </row>
    <row r="915">
      <c r="A915" s="2">
        <v>3.83</v>
      </c>
      <c r="B915" s="2">
        <v>229.6</v>
      </c>
      <c r="C915" s="2">
        <v>856.5</v>
      </c>
      <c r="D915" s="2">
        <v>1.8</v>
      </c>
      <c r="E915" s="2">
        <v>0.98</v>
      </c>
      <c r="F915" s="2">
        <v>50.0</v>
      </c>
      <c r="G915" s="4">
        <v>44460.87522599537</v>
      </c>
      <c r="H915" s="8">
        <v>44460.0</v>
      </c>
    </row>
    <row r="916">
      <c r="A916" s="2">
        <v>3.82</v>
      </c>
      <c r="B916" s="2">
        <v>229.9</v>
      </c>
      <c r="C916" s="2">
        <v>856.6</v>
      </c>
      <c r="D916" s="2">
        <v>1.8</v>
      </c>
      <c r="E916" s="2">
        <v>0.98</v>
      </c>
      <c r="F916" s="2">
        <v>49.9</v>
      </c>
      <c r="G916" s="4">
        <v>44460.87536013889</v>
      </c>
      <c r="H916" s="8">
        <v>44460.0</v>
      </c>
    </row>
    <row r="917">
      <c r="A917" s="2">
        <v>3.82</v>
      </c>
      <c r="B917" s="2">
        <v>230.0</v>
      </c>
      <c r="C917" s="2">
        <v>856.7</v>
      </c>
      <c r="D917" s="2">
        <v>1.81</v>
      </c>
      <c r="E917" s="2">
        <v>0.98</v>
      </c>
      <c r="F917" s="2">
        <v>50.0</v>
      </c>
      <c r="G917" s="4">
        <v>44460.87551709491</v>
      </c>
      <c r="H917" s="8">
        <v>44460.0</v>
      </c>
    </row>
    <row r="918">
      <c r="A918" s="2">
        <v>3.82</v>
      </c>
      <c r="B918" s="2">
        <v>230.0</v>
      </c>
      <c r="C918" s="2">
        <v>857.0</v>
      </c>
      <c r="D918" s="2">
        <v>1.81</v>
      </c>
      <c r="E918" s="2">
        <v>0.98</v>
      </c>
      <c r="F918" s="2">
        <v>50.0</v>
      </c>
      <c r="G918" s="4">
        <v>44460.87562881944</v>
      </c>
      <c r="H918" s="8">
        <v>44460.0</v>
      </c>
    </row>
    <row r="919">
      <c r="A919" s="2">
        <v>3.82</v>
      </c>
      <c r="B919" s="2">
        <v>230.1</v>
      </c>
      <c r="C919" s="2">
        <v>857.1</v>
      </c>
      <c r="D919" s="2">
        <v>1.81</v>
      </c>
      <c r="E919" s="2">
        <v>0.98</v>
      </c>
      <c r="F919" s="2">
        <v>50.0</v>
      </c>
      <c r="G919" s="4">
        <v>44460.87573935185</v>
      </c>
      <c r="H919" s="8">
        <v>44460.0</v>
      </c>
    </row>
    <row r="920">
      <c r="A920" s="2">
        <v>3.82</v>
      </c>
      <c r="B920" s="2">
        <v>230.3</v>
      </c>
      <c r="C920" s="2">
        <v>857.1</v>
      </c>
      <c r="D920" s="2">
        <v>1.81</v>
      </c>
      <c r="E920" s="2">
        <v>0.98</v>
      </c>
      <c r="F920" s="2">
        <v>50.0</v>
      </c>
      <c r="G920" s="4">
        <v>44460.875844375</v>
      </c>
      <c r="H920" s="8">
        <v>44460.0</v>
      </c>
    </row>
    <row r="921">
      <c r="A921" s="2">
        <v>3.82</v>
      </c>
      <c r="B921" s="2">
        <v>230.3</v>
      </c>
      <c r="C921" s="2">
        <v>857.2</v>
      </c>
      <c r="D921" s="2">
        <v>1.82</v>
      </c>
      <c r="E921" s="2">
        <v>0.98</v>
      </c>
      <c r="F921" s="2">
        <v>50.0</v>
      </c>
      <c r="G921" s="4">
        <v>44460.8759621412</v>
      </c>
      <c r="H921" s="8">
        <v>44460.0</v>
      </c>
    </row>
    <row r="922">
      <c r="A922" s="2">
        <v>3.82</v>
      </c>
      <c r="B922" s="2">
        <v>230.2</v>
      </c>
      <c r="C922" s="2">
        <v>857.4</v>
      </c>
      <c r="D922" s="2">
        <v>1.82</v>
      </c>
      <c r="E922" s="2">
        <v>0.98</v>
      </c>
      <c r="F922" s="2">
        <v>50.0</v>
      </c>
      <c r="G922" s="4">
        <v>44460.87606869213</v>
      </c>
      <c r="H922" s="8">
        <v>44460.0</v>
      </c>
    </row>
    <row r="923">
      <c r="A923" s="2">
        <v>3.82</v>
      </c>
      <c r="B923" s="2">
        <v>230.2</v>
      </c>
      <c r="C923" s="2">
        <v>857.5</v>
      </c>
      <c r="D923" s="2">
        <v>1.82</v>
      </c>
      <c r="E923" s="2">
        <v>0.98</v>
      </c>
      <c r="F923" s="2">
        <v>50.0</v>
      </c>
      <c r="G923" s="4">
        <v>44460.8761809375</v>
      </c>
      <c r="H923" s="8">
        <v>44460.0</v>
      </c>
    </row>
    <row r="924">
      <c r="A924" s="2">
        <v>3.82</v>
      </c>
      <c r="B924" s="2">
        <v>230.2</v>
      </c>
      <c r="C924" s="2">
        <v>857.6</v>
      </c>
      <c r="D924" s="2">
        <v>1.82</v>
      </c>
      <c r="E924" s="2">
        <v>0.98</v>
      </c>
      <c r="F924" s="2">
        <v>50.0</v>
      </c>
      <c r="G924" s="4">
        <v>44460.876280324075</v>
      </c>
      <c r="H924" s="8">
        <v>44460.0</v>
      </c>
    </row>
    <row r="925">
      <c r="A925" s="2">
        <v>3.82</v>
      </c>
      <c r="B925" s="2">
        <v>230.2</v>
      </c>
      <c r="C925" s="2">
        <v>857.8</v>
      </c>
      <c r="D925" s="2">
        <v>1.82</v>
      </c>
      <c r="E925" s="2">
        <v>0.98</v>
      </c>
      <c r="F925" s="2">
        <v>50.0</v>
      </c>
      <c r="G925" s="4">
        <v>44460.87641646991</v>
      </c>
      <c r="H925" s="8">
        <v>44460.0</v>
      </c>
    </row>
    <row r="926">
      <c r="A926" s="2">
        <v>3.82</v>
      </c>
      <c r="B926" s="2">
        <v>230.2</v>
      </c>
      <c r="C926" s="2">
        <v>857.9</v>
      </c>
      <c r="D926" s="2">
        <v>1.83</v>
      </c>
      <c r="E926" s="2">
        <v>0.97</v>
      </c>
      <c r="F926" s="2">
        <v>50.0</v>
      </c>
      <c r="G926" s="4">
        <v>44460.8765166088</v>
      </c>
      <c r="H926" s="8">
        <v>44460.0</v>
      </c>
    </row>
    <row r="927">
      <c r="A927" s="2">
        <v>3.83</v>
      </c>
      <c r="B927" s="2">
        <v>230.1</v>
      </c>
      <c r="C927" s="2">
        <v>858.0</v>
      </c>
      <c r="D927" s="2">
        <v>1.83</v>
      </c>
      <c r="E927" s="2">
        <v>0.97</v>
      </c>
      <c r="F927" s="2">
        <v>49.9</v>
      </c>
      <c r="G927" s="4">
        <v>44460.87661894676</v>
      </c>
      <c r="H927" s="8">
        <v>44460.0</v>
      </c>
    </row>
    <row r="928">
      <c r="A928" s="2">
        <v>3.83</v>
      </c>
      <c r="B928" s="2">
        <v>230.0</v>
      </c>
      <c r="C928" s="2">
        <v>858.2</v>
      </c>
      <c r="D928" s="2">
        <v>1.83</v>
      </c>
      <c r="E928" s="2">
        <v>0.98</v>
      </c>
      <c r="F928" s="2">
        <v>49.9</v>
      </c>
      <c r="G928" s="4">
        <v>44460.87672677083</v>
      </c>
      <c r="H928" s="8">
        <v>44460.0</v>
      </c>
    </row>
    <row r="929">
      <c r="A929" s="2">
        <v>3.83</v>
      </c>
      <c r="B929" s="2">
        <v>230.0</v>
      </c>
      <c r="C929" s="2">
        <v>858.3</v>
      </c>
      <c r="D929" s="2">
        <v>1.83</v>
      </c>
      <c r="E929" s="2">
        <v>0.98</v>
      </c>
      <c r="F929" s="2">
        <v>49.9</v>
      </c>
      <c r="G929" s="4">
        <v>44460.87683365741</v>
      </c>
      <c r="H929" s="8">
        <v>44460.0</v>
      </c>
    </row>
    <row r="930">
      <c r="A930" s="2">
        <v>3.83</v>
      </c>
      <c r="B930" s="2">
        <v>230.1</v>
      </c>
      <c r="C930" s="2">
        <v>858.4</v>
      </c>
      <c r="D930" s="2">
        <v>1.84</v>
      </c>
      <c r="E930" s="2">
        <v>0.98</v>
      </c>
      <c r="F930" s="2">
        <v>49.9</v>
      </c>
      <c r="G930" s="4">
        <v>44460.876938981484</v>
      </c>
      <c r="H930" s="8">
        <v>44460.0</v>
      </c>
    </row>
    <row r="931">
      <c r="A931" s="2">
        <v>3.83</v>
      </c>
      <c r="B931" s="2">
        <v>230.0</v>
      </c>
      <c r="C931" s="2">
        <v>858.5</v>
      </c>
      <c r="D931" s="2">
        <v>1.84</v>
      </c>
      <c r="E931" s="2">
        <v>0.98</v>
      </c>
      <c r="F931" s="2">
        <v>49.9</v>
      </c>
      <c r="G931" s="4">
        <v>44460.8770444213</v>
      </c>
      <c r="H931" s="8">
        <v>44460.0</v>
      </c>
    </row>
    <row r="932">
      <c r="A932" s="2">
        <v>3.82</v>
      </c>
      <c r="B932" s="2">
        <v>230.2</v>
      </c>
      <c r="C932" s="2">
        <v>858.6</v>
      </c>
      <c r="D932" s="2">
        <v>1.84</v>
      </c>
      <c r="E932" s="2">
        <v>0.98</v>
      </c>
      <c r="F932" s="2">
        <v>50.0</v>
      </c>
      <c r="G932" s="4">
        <v>44460.8771533449</v>
      </c>
      <c r="H932" s="8">
        <v>44460.0</v>
      </c>
    </row>
    <row r="933">
      <c r="A933" s="2">
        <v>3.82</v>
      </c>
      <c r="B933" s="2">
        <v>230.5</v>
      </c>
      <c r="C933" s="2">
        <v>858.7</v>
      </c>
      <c r="D933" s="2">
        <v>1.84</v>
      </c>
      <c r="E933" s="2">
        <v>0.97</v>
      </c>
      <c r="F933" s="2">
        <v>50.0</v>
      </c>
      <c r="G933" s="4">
        <v>44460.87725701389</v>
      </c>
      <c r="H933" s="8">
        <v>44460.0</v>
      </c>
    </row>
    <row r="934">
      <c r="A934" s="2">
        <v>3.82</v>
      </c>
      <c r="B934" s="2">
        <v>230.4</v>
      </c>
      <c r="C934" s="2">
        <v>858.8</v>
      </c>
      <c r="D934" s="2">
        <v>1.84</v>
      </c>
      <c r="E934" s="2">
        <v>0.98</v>
      </c>
      <c r="F934" s="2">
        <v>50.0</v>
      </c>
      <c r="G934" s="4">
        <v>44460.8773659838</v>
      </c>
      <c r="H934" s="8">
        <v>44460.0</v>
      </c>
    </row>
    <row r="935">
      <c r="A935" s="2">
        <v>3.82</v>
      </c>
      <c r="B935" s="2">
        <v>230.4</v>
      </c>
      <c r="C935" s="2">
        <v>858.9</v>
      </c>
      <c r="D935" s="2">
        <v>1.85</v>
      </c>
      <c r="E935" s="2">
        <v>0.98</v>
      </c>
      <c r="F935" s="2">
        <v>50.0</v>
      </c>
      <c r="G935" s="4">
        <v>44460.87747835648</v>
      </c>
      <c r="H935" s="8">
        <v>44460.0</v>
      </c>
    </row>
    <row r="936">
      <c r="A936" s="2">
        <v>3.82</v>
      </c>
      <c r="B936" s="2">
        <v>230.6</v>
      </c>
      <c r="C936" s="2">
        <v>859.1</v>
      </c>
      <c r="D936" s="2">
        <v>1.85</v>
      </c>
      <c r="E936" s="2">
        <v>0.98</v>
      </c>
      <c r="F936" s="2">
        <v>50.0</v>
      </c>
      <c r="G936" s="4">
        <v>44460.87758480324</v>
      </c>
      <c r="H936" s="8">
        <v>44460.0</v>
      </c>
    </row>
    <row r="937">
      <c r="A937" s="2">
        <v>3.82</v>
      </c>
      <c r="B937" s="2">
        <v>230.7</v>
      </c>
      <c r="C937" s="2">
        <v>859.2</v>
      </c>
      <c r="D937" s="2">
        <v>1.85</v>
      </c>
      <c r="E937" s="2">
        <v>0.97</v>
      </c>
      <c r="F937" s="2">
        <v>50.0</v>
      </c>
      <c r="G937" s="4">
        <v>44460.87768395833</v>
      </c>
      <c r="H937" s="8">
        <v>44460.0</v>
      </c>
    </row>
    <row r="938">
      <c r="A938" s="2">
        <v>3.82</v>
      </c>
      <c r="B938" s="2">
        <v>230.6</v>
      </c>
      <c r="C938" s="2">
        <v>859.3</v>
      </c>
      <c r="D938" s="2">
        <v>1.85</v>
      </c>
      <c r="E938" s="2">
        <v>0.97</v>
      </c>
      <c r="F938" s="2">
        <v>50.0</v>
      </c>
      <c r="G938" s="4">
        <v>44460.87778792824</v>
      </c>
      <c r="H938" s="8">
        <v>44460.0</v>
      </c>
    </row>
    <row r="939">
      <c r="A939" s="2">
        <v>3.83</v>
      </c>
      <c r="B939" s="2">
        <v>230.5</v>
      </c>
      <c r="C939" s="2">
        <v>859.5</v>
      </c>
      <c r="D939" s="2">
        <v>1.86</v>
      </c>
      <c r="E939" s="2">
        <v>0.97</v>
      </c>
      <c r="F939" s="2">
        <v>50.0</v>
      </c>
      <c r="G939" s="4">
        <v>44460.87788996528</v>
      </c>
      <c r="H939" s="8">
        <v>44460.0</v>
      </c>
    </row>
    <row r="940">
      <c r="A940" s="2">
        <v>3.83</v>
      </c>
      <c r="B940" s="2">
        <v>230.5</v>
      </c>
      <c r="C940" s="2">
        <v>859.6</v>
      </c>
      <c r="D940" s="2">
        <v>1.86</v>
      </c>
      <c r="E940" s="2">
        <v>0.97</v>
      </c>
      <c r="F940" s="2">
        <v>50.0</v>
      </c>
      <c r="G940" s="4">
        <v>44460.87799594908</v>
      </c>
      <c r="H940" s="8">
        <v>44460.0</v>
      </c>
    </row>
    <row r="941">
      <c r="A941" s="2">
        <v>3.83</v>
      </c>
      <c r="B941" s="2">
        <v>230.4</v>
      </c>
      <c r="C941" s="2">
        <v>859.7</v>
      </c>
      <c r="D941" s="2">
        <v>1.86</v>
      </c>
      <c r="E941" s="2">
        <v>0.98</v>
      </c>
      <c r="F941" s="2">
        <v>50.0</v>
      </c>
      <c r="G941" s="4">
        <v>44460.87810255787</v>
      </c>
      <c r="H941" s="8">
        <v>44460.0</v>
      </c>
    </row>
    <row r="942">
      <c r="A942" s="2">
        <v>3.83</v>
      </c>
      <c r="B942" s="2">
        <v>230.2</v>
      </c>
      <c r="C942" s="2">
        <v>859.8</v>
      </c>
      <c r="D942" s="2">
        <v>1.86</v>
      </c>
      <c r="E942" s="2">
        <v>0.98</v>
      </c>
      <c r="F942" s="2">
        <v>50.0</v>
      </c>
      <c r="G942" s="4">
        <v>44460.8782096412</v>
      </c>
      <c r="H942" s="8">
        <v>44460.0</v>
      </c>
    </row>
    <row r="943">
      <c r="A943" s="2">
        <v>3.83</v>
      </c>
      <c r="B943" s="2">
        <v>230.1</v>
      </c>
      <c r="C943" s="2">
        <v>859.9</v>
      </c>
      <c r="D943" s="2">
        <v>1.86</v>
      </c>
      <c r="E943" s="2">
        <v>0.98</v>
      </c>
      <c r="F943" s="2">
        <v>50.0</v>
      </c>
      <c r="G943" s="4">
        <v>44460.87831804398</v>
      </c>
      <c r="H943" s="8">
        <v>44460.0</v>
      </c>
    </row>
    <row r="944">
      <c r="A944" s="2">
        <v>3.83</v>
      </c>
      <c r="B944" s="2">
        <v>230.1</v>
      </c>
      <c r="C944" s="2">
        <v>860.1</v>
      </c>
      <c r="D944" s="2">
        <v>1.87</v>
      </c>
      <c r="E944" s="2">
        <v>0.97</v>
      </c>
      <c r="F944" s="2">
        <v>50.0</v>
      </c>
      <c r="G944" s="4">
        <v>44460.87842681713</v>
      </c>
      <c r="H944" s="8">
        <v>44460.0</v>
      </c>
    </row>
    <row r="945">
      <c r="A945" s="2">
        <v>3.84</v>
      </c>
      <c r="B945" s="2">
        <v>229.9</v>
      </c>
      <c r="C945" s="2">
        <v>860.2</v>
      </c>
      <c r="D945" s="2">
        <v>1.87</v>
      </c>
      <c r="E945" s="2">
        <v>0.98</v>
      </c>
      <c r="F945" s="2">
        <v>50.0</v>
      </c>
      <c r="G945" s="4">
        <v>44460.878527939814</v>
      </c>
      <c r="H945" s="8">
        <v>44460.0</v>
      </c>
    </row>
    <row r="946">
      <c r="A946" s="2">
        <v>3.84</v>
      </c>
      <c r="B946" s="2">
        <v>229.9</v>
      </c>
      <c r="C946" s="2">
        <v>860.3</v>
      </c>
      <c r="D946" s="2">
        <v>1.87</v>
      </c>
      <c r="E946" s="2">
        <v>0.98</v>
      </c>
      <c r="F946" s="2">
        <v>49.9</v>
      </c>
      <c r="G946" s="4">
        <v>44460.87863136574</v>
      </c>
      <c r="H946" s="8">
        <v>44460.0</v>
      </c>
    </row>
    <row r="947">
      <c r="A947" s="2">
        <v>3.84</v>
      </c>
      <c r="B947" s="2">
        <v>229.9</v>
      </c>
      <c r="C947" s="2">
        <v>860.4</v>
      </c>
      <c r="D947" s="2">
        <v>1.87</v>
      </c>
      <c r="E947" s="2">
        <v>0.98</v>
      </c>
      <c r="F947" s="2">
        <v>50.0</v>
      </c>
      <c r="G947" s="4">
        <v>44460.87873490741</v>
      </c>
      <c r="H947" s="8">
        <v>44460.0</v>
      </c>
    </row>
    <row r="948">
      <c r="A948" s="2">
        <v>3.84</v>
      </c>
      <c r="B948" s="2">
        <v>229.9</v>
      </c>
      <c r="C948" s="2">
        <v>860.6</v>
      </c>
      <c r="D948" s="2">
        <v>1.88</v>
      </c>
      <c r="E948" s="2">
        <v>0.98</v>
      </c>
      <c r="F948" s="2">
        <v>50.0</v>
      </c>
      <c r="G948" s="4">
        <v>44460.87884063658</v>
      </c>
      <c r="H948" s="8">
        <v>44460.0</v>
      </c>
    </row>
    <row r="949">
      <c r="A949" s="2">
        <v>3.84</v>
      </c>
      <c r="B949" s="2">
        <v>230.0</v>
      </c>
      <c r="C949" s="2">
        <v>860.7</v>
      </c>
      <c r="D949" s="2">
        <v>1.88</v>
      </c>
      <c r="E949" s="2">
        <v>0.98</v>
      </c>
      <c r="F949" s="2">
        <v>50.0</v>
      </c>
      <c r="G949" s="4">
        <v>44460.87894616898</v>
      </c>
      <c r="H949" s="8">
        <v>44460.0</v>
      </c>
    </row>
    <row r="950">
      <c r="A950" s="2">
        <v>3.84</v>
      </c>
      <c r="B950" s="2">
        <v>230.0</v>
      </c>
      <c r="C950" s="2">
        <v>860.8</v>
      </c>
      <c r="D950" s="2">
        <v>1.88</v>
      </c>
      <c r="E950" s="2">
        <v>0.98</v>
      </c>
      <c r="F950" s="2">
        <v>50.0</v>
      </c>
      <c r="G950" s="4">
        <v>44460.879050578704</v>
      </c>
      <c r="H950" s="8">
        <v>44460.0</v>
      </c>
    </row>
    <row r="951">
      <c r="A951" s="2">
        <v>3.84</v>
      </c>
      <c r="B951" s="2">
        <v>230.2</v>
      </c>
      <c r="C951" s="2">
        <v>860.9</v>
      </c>
      <c r="D951" s="2">
        <v>1.88</v>
      </c>
      <c r="E951" s="2">
        <v>0.97</v>
      </c>
      <c r="F951" s="2">
        <v>50.0</v>
      </c>
      <c r="G951" s="4">
        <v>44460.879155393515</v>
      </c>
      <c r="H951" s="8">
        <v>44460.0</v>
      </c>
    </row>
    <row r="952">
      <c r="A952" s="2">
        <v>3.84</v>
      </c>
      <c r="B952" s="2">
        <v>230.1</v>
      </c>
      <c r="C952" s="2">
        <v>861.1</v>
      </c>
      <c r="D952" s="2">
        <v>1.88</v>
      </c>
      <c r="E952" s="2">
        <v>0.98</v>
      </c>
      <c r="F952" s="2">
        <v>50.0</v>
      </c>
      <c r="G952" s="4">
        <v>44460.879299884255</v>
      </c>
      <c r="H952" s="8">
        <v>44460.0</v>
      </c>
    </row>
    <row r="953">
      <c r="A953" s="2">
        <v>3.84</v>
      </c>
      <c r="B953" s="2">
        <v>230.1</v>
      </c>
      <c r="C953" s="2">
        <v>861.2</v>
      </c>
      <c r="D953" s="2">
        <v>1.89</v>
      </c>
      <c r="E953" s="2">
        <v>0.98</v>
      </c>
      <c r="F953" s="2">
        <v>50.0</v>
      </c>
      <c r="G953" s="4">
        <v>44460.87941861111</v>
      </c>
      <c r="H953" s="8">
        <v>44460.0</v>
      </c>
    </row>
    <row r="954">
      <c r="A954" s="2">
        <v>3.84</v>
      </c>
      <c r="B954" s="2">
        <v>230.0</v>
      </c>
      <c r="C954" s="2">
        <v>861.3</v>
      </c>
      <c r="D954" s="2">
        <v>1.89</v>
      </c>
      <c r="E954" s="2">
        <v>0.98</v>
      </c>
      <c r="F954" s="2">
        <v>50.0</v>
      </c>
      <c r="G954" s="4">
        <v>44460.87953332176</v>
      </c>
      <c r="H954" s="8">
        <v>44460.0</v>
      </c>
    </row>
    <row r="955">
      <c r="A955" s="2">
        <v>3.84</v>
      </c>
      <c r="B955" s="2">
        <v>229.9</v>
      </c>
      <c r="C955" s="2">
        <v>861.4</v>
      </c>
      <c r="D955" s="2">
        <v>1.89</v>
      </c>
      <c r="E955" s="2">
        <v>0.97</v>
      </c>
      <c r="F955" s="2">
        <v>49.9</v>
      </c>
      <c r="G955" s="4">
        <v>44460.87964158565</v>
      </c>
      <c r="H955" s="8">
        <v>44460.0</v>
      </c>
    </row>
    <row r="956">
      <c r="A956" s="2">
        <v>3.84</v>
      </c>
      <c r="B956" s="2">
        <v>229.9</v>
      </c>
      <c r="C956" s="2">
        <v>861.6</v>
      </c>
      <c r="D956" s="2">
        <v>1.89</v>
      </c>
      <c r="E956" s="2">
        <v>0.97</v>
      </c>
      <c r="F956" s="2">
        <v>49.9</v>
      </c>
      <c r="G956" s="4">
        <v>44460.879743576384</v>
      </c>
      <c r="H956" s="8">
        <v>44460.0</v>
      </c>
    </row>
    <row r="957">
      <c r="A957" s="2">
        <v>3.84</v>
      </c>
      <c r="B957" s="2">
        <v>229.9</v>
      </c>
      <c r="C957" s="2">
        <v>861.7</v>
      </c>
      <c r="D957" s="2">
        <v>1.9</v>
      </c>
      <c r="E957" s="2">
        <v>0.98</v>
      </c>
      <c r="F957" s="2">
        <v>49.9</v>
      </c>
      <c r="G957" s="4">
        <v>44460.879850682875</v>
      </c>
      <c r="H957" s="8">
        <v>44460.0</v>
      </c>
    </row>
    <row r="958">
      <c r="A958" s="2">
        <v>3.85</v>
      </c>
      <c r="B958" s="2">
        <v>229.7</v>
      </c>
      <c r="C958" s="2">
        <v>861.9</v>
      </c>
      <c r="D958" s="2">
        <v>1.9</v>
      </c>
      <c r="E958" s="2">
        <v>0.97</v>
      </c>
      <c r="F958" s="2">
        <v>49.9</v>
      </c>
      <c r="G958" s="4">
        <v>44460.87997681713</v>
      </c>
      <c r="H958" s="8">
        <v>44460.0</v>
      </c>
    </row>
    <row r="959">
      <c r="A959" s="2">
        <v>3.85</v>
      </c>
      <c r="B959" s="2">
        <v>229.6</v>
      </c>
      <c r="C959" s="2">
        <v>862.0</v>
      </c>
      <c r="D959" s="2">
        <v>1.9</v>
      </c>
      <c r="E959" s="2">
        <v>0.98</v>
      </c>
      <c r="F959" s="2">
        <v>49.9</v>
      </c>
      <c r="G959" s="4">
        <v>44460.880082777774</v>
      </c>
      <c r="H959" s="8">
        <v>44460.0</v>
      </c>
    </row>
    <row r="960">
      <c r="A960" s="2">
        <v>3.85</v>
      </c>
      <c r="B960" s="2">
        <v>229.6</v>
      </c>
      <c r="C960" s="2">
        <v>862.1</v>
      </c>
      <c r="D960" s="2">
        <v>1.9</v>
      </c>
      <c r="E960" s="2">
        <v>0.98</v>
      </c>
      <c r="F960" s="2">
        <v>49.9</v>
      </c>
      <c r="G960" s="4">
        <v>44460.88019146991</v>
      </c>
      <c r="H960" s="8">
        <v>44460.0</v>
      </c>
    </row>
    <row r="961">
      <c r="A961" s="2">
        <v>3.85</v>
      </c>
      <c r="B961" s="2">
        <v>229.6</v>
      </c>
      <c r="C961" s="2">
        <v>862.2</v>
      </c>
      <c r="D961" s="2">
        <v>1.9</v>
      </c>
      <c r="E961" s="2">
        <v>0.98</v>
      </c>
      <c r="F961" s="2">
        <v>50.0</v>
      </c>
      <c r="G961" s="4">
        <v>44460.880295324074</v>
      </c>
      <c r="H961" s="8">
        <v>44460.0</v>
      </c>
    </row>
    <row r="962">
      <c r="A962" s="2">
        <v>3.85</v>
      </c>
      <c r="B962" s="2">
        <v>229.9</v>
      </c>
      <c r="C962" s="2">
        <v>862.3</v>
      </c>
      <c r="D962" s="2">
        <v>1.91</v>
      </c>
      <c r="E962" s="2">
        <v>0.98</v>
      </c>
      <c r="F962" s="2">
        <v>50.0</v>
      </c>
      <c r="G962" s="4">
        <v>44460.88039684028</v>
      </c>
      <c r="H962" s="8">
        <v>44460.0</v>
      </c>
    </row>
    <row r="963">
      <c r="A963" s="2">
        <v>3.85</v>
      </c>
      <c r="B963" s="2">
        <v>229.9</v>
      </c>
      <c r="C963" s="2">
        <v>862.4</v>
      </c>
      <c r="D963" s="2">
        <v>1.91</v>
      </c>
      <c r="E963" s="2">
        <v>0.98</v>
      </c>
      <c r="F963" s="2">
        <v>50.0</v>
      </c>
      <c r="G963" s="4">
        <v>44460.8804990162</v>
      </c>
      <c r="H963" s="8">
        <v>44460.0</v>
      </c>
    </row>
    <row r="964">
      <c r="A964" s="2">
        <v>3.84</v>
      </c>
      <c r="B964" s="2">
        <v>230.1</v>
      </c>
      <c r="C964" s="2">
        <v>862.4</v>
      </c>
      <c r="D964" s="2">
        <v>1.91</v>
      </c>
      <c r="E964" s="2">
        <v>0.98</v>
      </c>
      <c r="F964" s="2">
        <v>50.0</v>
      </c>
      <c r="G964" s="4">
        <v>44460.880604791666</v>
      </c>
      <c r="H964" s="8">
        <v>44460.0</v>
      </c>
    </row>
    <row r="965">
      <c r="A965" s="2">
        <v>3.84</v>
      </c>
      <c r="B965" s="2">
        <v>230.1</v>
      </c>
      <c r="C965" s="2">
        <v>862.6</v>
      </c>
      <c r="D965" s="2">
        <v>1.91</v>
      </c>
      <c r="E965" s="2">
        <v>0.98</v>
      </c>
      <c r="F965" s="2">
        <v>50.0</v>
      </c>
      <c r="G965" s="4">
        <v>44460.88070795139</v>
      </c>
      <c r="H965" s="8">
        <v>44460.0</v>
      </c>
    </row>
    <row r="966">
      <c r="A966" s="2">
        <v>3.84</v>
      </c>
      <c r="B966" s="2">
        <v>230.2</v>
      </c>
      <c r="C966" s="2">
        <v>862.7</v>
      </c>
      <c r="D966" s="2">
        <v>1.92</v>
      </c>
      <c r="E966" s="2">
        <v>0.97</v>
      </c>
      <c r="F966" s="2">
        <v>50.0</v>
      </c>
      <c r="G966" s="4">
        <v>44460.88081472222</v>
      </c>
      <c r="H966" s="8">
        <v>44460.0</v>
      </c>
    </row>
    <row r="967">
      <c r="A967" s="2">
        <v>3.85</v>
      </c>
      <c r="B967" s="2">
        <v>230.1</v>
      </c>
      <c r="C967" s="2">
        <v>862.8</v>
      </c>
      <c r="D967" s="2">
        <v>1.92</v>
      </c>
      <c r="E967" s="2">
        <v>0.98</v>
      </c>
      <c r="F967" s="2">
        <v>50.0</v>
      </c>
      <c r="G967" s="4">
        <v>44460.880914988426</v>
      </c>
      <c r="H967" s="8">
        <v>44460.0</v>
      </c>
    </row>
    <row r="968">
      <c r="A968" s="2">
        <v>3.85</v>
      </c>
      <c r="B968" s="2">
        <v>230.0</v>
      </c>
      <c r="C968" s="2">
        <v>863.0</v>
      </c>
      <c r="D968" s="2">
        <v>1.92</v>
      </c>
      <c r="E968" s="2">
        <v>0.98</v>
      </c>
      <c r="F968" s="2">
        <v>50.0</v>
      </c>
      <c r="G968" s="4">
        <v>44460.881015949075</v>
      </c>
      <c r="H968" s="8">
        <v>44460.0</v>
      </c>
    </row>
    <row r="969">
      <c r="A969" s="2">
        <v>3.85</v>
      </c>
      <c r="B969" s="2">
        <v>229.9</v>
      </c>
      <c r="C969" s="2">
        <v>863.1</v>
      </c>
      <c r="D969" s="2">
        <v>1.92</v>
      </c>
      <c r="E969" s="2">
        <v>0.98</v>
      </c>
      <c r="F969" s="2">
        <v>50.0</v>
      </c>
      <c r="G969" s="4">
        <v>44460.88111686343</v>
      </c>
      <c r="H969" s="8">
        <v>44460.0</v>
      </c>
    </row>
    <row r="970">
      <c r="A970" s="2">
        <v>3.85</v>
      </c>
      <c r="B970" s="2">
        <v>229.8</v>
      </c>
      <c r="C970" s="2">
        <v>863.3</v>
      </c>
      <c r="D970" s="2">
        <v>1.92</v>
      </c>
      <c r="E970" s="2">
        <v>0.98</v>
      </c>
      <c r="F970" s="2">
        <v>50.0</v>
      </c>
      <c r="G970" s="4">
        <v>44460.88122217593</v>
      </c>
      <c r="H970" s="8">
        <v>44460.0</v>
      </c>
    </row>
    <row r="971">
      <c r="A971" s="2">
        <v>3.85</v>
      </c>
      <c r="B971" s="2">
        <v>229.8</v>
      </c>
      <c r="C971" s="2">
        <v>863.3</v>
      </c>
      <c r="D971" s="2">
        <v>1.93</v>
      </c>
      <c r="E971" s="2">
        <v>0.98</v>
      </c>
      <c r="F971" s="2">
        <v>50.0</v>
      </c>
      <c r="G971" s="4">
        <v>44460.881323229165</v>
      </c>
      <c r="H971" s="8">
        <v>44460.0</v>
      </c>
    </row>
    <row r="972">
      <c r="A972" s="2">
        <v>3.85</v>
      </c>
      <c r="B972" s="2">
        <v>229.9</v>
      </c>
      <c r="C972" s="2">
        <v>863.5</v>
      </c>
      <c r="D972" s="2">
        <v>1.93</v>
      </c>
      <c r="E972" s="2">
        <v>0.98</v>
      </c>
      <c r="F972" s="2">
        <v>50.0</v>
      </c>
      <c r="G972" s="4">
        <v>44460.88142543982</v>
      </c>
      <c r="H972" s="8">
        <v>44460.0</v>
      </c>
    </row>
    <row r="973">
      <c r="A973" s="2">
        <v>3.85</v>
      </c>
      <c r="B973" s="2">
        <v>229.9</v>
      </c>
      <c r="C973" s="2">
        <v>863.5</v>
      </c>
      <c r="D973" s="2">
        <v>1.93</v>
      </c>
      <c r="E973" s="2">
        <v>0.98</v>
      </c>
      <c r="F973" s="2">
        <v>50.0</v>
      </c>
      <c r="G973" s="4">
        <v>44460.88152756944</v>
      </c>
      <c r="H973" s="8">
        <v>44460.0</v>
      </c>
    </row>
    <row r="974">
      <c r="A974" s="2">
        <v>3.85</v>
      </c>
      <c r="B974" s="2">
        <v>229.8</v>
      </c>
      <c r="C974" s="2">
        <v>863.6</v>
      </c>
      <c r="D974" s="2">
        <v>1.93</v>
      </c>
      <c r="E974" s="2">
        <v>0.98</v>
      </c>
      <c r="F974" s="2">
        <v>50.0</v>
      </c>
      <c r="G974" s="4">
        <v>44460.88163070602</v>
      </c>
      <c r="H974" s="8">
        <v>44460.0</v>
      </c>
    </row>
    <row r="975">
      <c r="A975" s="2">
        <v>3.85</v>
      </c>
      <c r="B975" s="2">
        <v>230.0</v>
      </c>
      <c r="C975" s="2">
        <v>863.7</v>
      </c>
      <c r="D975" s="2">
        <v>1.93</v>
      </c>
      <c r="E975" s="2">
        <v>0.98</v>
      </c>
      <c r="F975" s="2">
        <v>50.0</v>
      </c>
      <c r="G975" s="4">
        <v>44460.88173907407</v>
      </c>
      <c r="H975" s="8">
        <v>44460.0</v>
      </c>
    </row>
    <row r="976">
      <c r="A976" s="2">
        <v>3.85</v>
      </c>
      <c r="B976" s="2">
        <v>229.9</v>
      </c>
      <c r="C976" s="2">
        <v>863.9</v>
      </c>
      <c r="D976" s="2">
        <v>1.94</v>
      </c>
      <c r="E976" s="2">
        <v>0.98</v>
      </c>
      <c r="F976" s="2">
        <v>50.0</v>
      </c>
      <c r="G976" s="4">
        <v>44460.88184851852</v>
      </c>
      <c r="H976" s="8">
        <v>44460.0</v>
      </c>
    </row>
    <row r="977">
      <c r="A977" s="2">
        <v>3.85</v>
      </c>
      <c r="B977" s="2">
        <v>229.9</v>
      </c>
      <c r="C977" s="2">
        <v>864.0</v>
      </c>
      <c r="D977" s="2">
        <v>1.94</v>
      </c>
      <c r="E977" s="2">
        <v>0.98</v>
      </c>
      <c r="F977" s="2">
        <v>50.0</v>
      </c>
      <c r="G977" s="4">
        <v>44460.88195376158</v>
      </c>
      <c r="H977" s="8">
        <v>44460.0</v>
      </c>
    </row>
    <row r="978">
      <c r="A978" s="2">
        <v>3.86</v>
      </c>
      <c r="B978" s="2">
        <v>229.9</v>
      </c>
      <c r="C978" s="2">
        <v>864.1</v>
      </c>
      <c r="D978" s="2">
        <v>1.94</v>
      </c>
      <c r="E978" s="2">
        <v>0.97</v>
      </c>
      <c r="F978" s="2">
        <v>50.0</v>
      </c>
      <c r="G978" s="4">
        <v>44460.88206657408</v>
      </c>
      <c r="H978" s="8">
        <v>44460.0</v>
      </c>
    </row>
    <row r="979">
      <c r="A979" s="2">
        <v>3.86</v>
      </c>
      <c r="B979" s="2">
        <v>229.8</v>
      </c>
      <c r="C979" s="2">
        <v>864.2</v>
      </c>
      <c r="D979" s="2">
        <v>1.94</v>
      </c>
      <c r="E979" s="2">
        <v>0.98</v>
      </c>
      <c r="F979" s="2">
        <v>50.0</v>
      </c>
      <c r="G979" s="4">
        <v>44460.88218354167</v>
      </c>
      <c r="H979" s="8">
        <v>44460.0</v>
      </c>
    </row>
    <row r="980">
      <c r="A980" s="2">
        <v>3.85</v>
      </c>
      <c r="B980" s="2">
        <v>230.0</v>
      </c>
      <c r="C980" s="2">
        <v>864.3</v>
      </c>
      <c r="D980" s="2">
        <v>1.95</v>
      </c>
      <c r="E980" s="2">
        <v>0.98</v>
      </c>
      <c r="F980" s="2">
        <v>50.0</v>
      </c>
      <c r="G980" s="4">
        <v>44460.88229071759</v>
      </c>
      <c r="H980" s="8">
        <v>44460.0</v>
      </c>
    </row>
    <row r="981">
      <c r="A981" s="2">
        <v>3.85</v>
      </c>
      <c r="B981" s="2">
        <v>230.0</v>
      </c>
      <c r="C981" s="2">
        <v>864.4</v>
      </c>
      <c r="D981" s="2">
        <v>1.95</v>
      </c>
      <c r="E981" s="2">
        <v>0.98</v>
      </c>
      <c r="F981" s="2">
        <v>50.0</v>
      </c>
      <c r="G981" s="4">
        <v>44460.882392280095</v>
      </c>
      <c r="H981" s="8">
        <v>44460.0</v>
      </c>
    </row>
    <row r="982">
      <c r="A982" s="2">
        <v>3.85</v>
      </c>
      <c r="B982" s="2">
        <v>230.1</v>
      </c>
      <c r="C982" s="2">
        <v>864.5</v>
      </c>
      <c r="D982" s="2">
        <v>1.95</v>
      </c>
      <c r="E982" s="2">
        <v>0.97</v>
      </c>
      <c r="F982" s="2">
        <v>50.0</v>
      </c>
      <c r="G982" s="4">
        <v>44460.88249415509</v>
      </c>
      <c r="H982" s="8">
        <v>44460.0</v>
      </c>
    </row>
    <row r="983">
      <c r="A983" s="2">
        <v>3.86</v>
      </c>
      <c r="B983" s="2">
        <v>230.0</v>
      </c>
      <c r="C983" s="2">
        <v>864.7</v>
      </c>
      <c r="D983" s="2">
        <v>1.95</v>
      </c>
      <c r="E983" s="2">
        <v>0.98</v>
      </c>
      <c r="F983" s="2">
        <v>50.0</v>
      </c>
      <c r="G983" s="4">
        <v>44460.88259972222</v>
      </c>
      <c r="H983" s="8">
        <v>44460.0</v>
      </c>
    </row>
    <row r="984">
      <c r="A984" s="2">
        <v>3.86</v>
      </c>
      <c r="B984" s="2">
        <v>230.0</v>
      </c>
      <c r="C984" s="2">
        <v>864.8</v>
      </c>
      <c r="D984" s="2">
        <v>1.96</v>
      </c>
      <c r="E984" s="2">
        <v>0.98</v>
      </c>
      <c r="F984" s="2">
        <v>50.0</v>
      </c>
      <c r="G984" s="4">
        <v>44460.88270253473</v>
      </c>
      <c r="H984" s="8">
        <v>44460.0</v>
      </c>
    </row>
    <row r="985">
      <c r="A985" s="2">
        <v>3.86</v>
      </c>
      <c r="B985" s="2">
        <v>230.0</v>
      </c>
      <c r="C985" s="2">
        <v>865.0</v>
      </c>
      <c r="D985" s="2">
        <v>1.96</v>
      </c>
      <c r="E985" s="2">
        <v>0.98</v>
      </c>
      <c r="F985" s="2">
        <v>50.0</v>
      </c>
      <c r="G985" s="4">
        <v>44460.88280773148</v>
      </c>
      <c r="H985" s="8">
        <v>44460.0</v>
      </c>
    </row>
    <row r="986">
      <c r="A986" s="2">
        <v>3.86</v>
      </c>
      <c r="B986" s="2">
        <v>230.0</v>
      </c>
      <c r="C986" s="2">
        <v>865.1</v>
      </c>
      <c r="D986" s="2">
        <v>1.96</v>
      </c>
      <c r="E986" s="2">
        <v>0.98</v>
      </c>
      <c r="F986" s="2">
        <v>50.0</v>
      </c>
      <c r="G986" s="4">
        <v>44460.88291530093</v>
      </c>
      <c r="H986" s="8">
        <v>44460.0</v>
      </c>
    </row>
    <row r="987">
      <c r="A987" s="2">
        <v>3.86</v>
      </c>
      <c r="B987" s="2">
        <v>230.1</v>
      </c>
      <c r="C987" s="2">
        <v>865.1</v>
      </c>
      <c r="D987" s="2">
        <v>1.96</v>
      </c>
      <c r="E987" s="2">
        <v>0.98</v>
      </c>
      <c r="F987" s="2">
        <v>50.0</v>
      </c>
      <c r="G987" s="4">
        <v>44460.88302395833</v>
      </c>
      <c r="H987" s="8">
        <v>44460.0</v>
      </c>
    </row>
    <row r="988">
      <c r="A988" s="2">
        <v>3.86</v>
      </c>
      <c r="B988" s="2">
        <v>230.1</v>
      </c>
      <c r="C988" s="2">
        <v>865.3</v>
      </c>
      <c r="D988" s="2">
        <v>1.96</v>
      </c>
      <c r="E988" s="2">
        <v>0.98</v>
      </c>
      <c r="F988" s="2">
        <v>50.0</v>
      </c>
      <c r="G988" s="4">
        <v>44460.8831240625</v>
      </c>
      <c r="H988" s="8">
        <v>44460.0</v>
      </c>
    </row>
    <row r="989">
      <c r="A989" s="2">
        <v>3.85</v>
      </c>
      <c r="B989" s="2">
        <v>230.2</v>
      </c>
      <c r="C989" s="2">
        <v>865.3</v>
      </c>
      <c r="D989" s="2">
        <v>1.97</v>
      </c>
      <c r="E989" s="2">
        <v>0.98</v>
      </c>
      <c r="F989" s="2">
        <v>50.0</v>
      </c>
      <c r="G989" s="4">
        <v>44460.883222731485</v>
      </c>
      <c r="H989" s="8">
        <v>44460.0</v>
      </c>
    </row>
    <row r="990">
      <c r="A990" s="2">
        <v>3.85</v>
      </c>
      <c r="B990" s="2">
        <v>230.3</v>
      </c>
      <c r="C990" s="2">
        <v>865.4</v>
      </c>
      <c r="D990" s="2">
        <v>1.97</v>
      </c>
      <c r="E990" s="2">
        <v>0.98</v>
      </c>
      <c r="F990" s="2">
        <v>50.0</v>
      </c>
      <c r="G990" s="4">
        <v>44460.88332314815</v>
      </c>
      <c r="H990" s="8">
        <v>44460.0</v>
      </c>
    </row>
    <row r="991">
      <c r="A991" s="2">
        <v>3.86</v>
      </c>
      <c r="B991" s="2">
        <v>230.3</v>
      </c>
      <c r="C991" s="2">
        <v>865.6</v>
      </c>
      <c r="D991" s="2">
        <v>1.97</v>
      </c>
      <c r="E991" s="2">
        <v>0.97</v>
      </c>
      <c r="F991" s="2">
        <v>50.0</v>
      </c>
      <c r="G991" s="4">
        <v>44460.88342920139</v>
      </c>
      <c r="H991" s="8">
        <v>44460.0</v>
      </c>
    </row>
    <row r="992">
      <c r="A992" s="2">
        <v>3.85</v>
      </c>
      <c r="B992" s="2">
        <v>230.4</v>
      </c>
      <c r="C992" s="2">
        <v>865.7</v>
      </c>
      <c r="D992" s="2">
        <v>1.97</v>
      </c>
      <c r="E992" s="2">
        <v>0.98</v>
      </c>
      <c r="F992" s="2">
        <v>50.0</v>
      </c>
      <c r="G992" s="4">
        <v>44460.88354069444</v>
      </c>
      <c r="H992" s="8">
        <v>44460.0</v>
      </c>
    </row>
    <row r="993">
      <c r="A993" s="2">
        <v>3.85</v>
      </c>
      <c r="B993" s="2">
        <v>230.5</v>
      </c>
      <c r="C993" s="2">
        <v>865.8</v>
      </c>
      <c r="D993" s="2">
        <v>1.98</v>
      </c>
      <c r="E993" s="2">
        <v>0.97</v>
      </c>
      <c r="F993" s="2">
        <v>50.0</v>
      </c>
      <c r="G993" s="4">
        <v>44460.88364388889</v>
      </c>
      <c r="H993" s="8">
        <v>44460.0</v>
      </c>
    </row>
    <row r="994">
      <c r="A994" s="2">
        <v>3.86</v>
      </c>
      <c r="B994" s="2">
        <v>230.3</v>
      </c>
      <c r="C994" s="2">
        <v>865.9</v>
      </c>
      <c r="D994" s="2">
        <v>1.98</v>
      </c>
      <c r="E994" s="2">
        <v>0.98</v>
      </c>
      <c r="F994" s="2">
        <v>50.0</v>
      </c>
      <c r="G994" s="4">
        <v>44460.88378418981</v>
      </c>
      <c r="H994" s="8">
        <v>44460.0</v>
      </c>
    </row>
    <row r="995">
      <c r="A995" s="2">
        <v>3.86</v>
      </c>
      <c r="B995" s="2">
        <v>230.3</v>
      </c>
      <c r="C995" s="2">
        <v>866.1</v>
      </c>
      <c r="D995" s="2">
        <v>1.98</v>
      </c>
      <c r="E995" s="2">
        <v>0.98</v>
      </c>
      <c r="F995" s="2">
        <v>50.0</v>
      </c>
      <c r="G995" s="4">
        <v>44460.88389244213</v>
      </c>
      <c r="H995" s="8">
        <v>44460.0</v>
      </c>
    </row>
    <row r="996">
      <c r="A996" s="2">
        <v>3.86</v>
      </c>
      <c r="B996" s="2">
        <v>230.3</v>
      </c>
      <c r="C996" s="2">
        <v>866.2</v>
      </c>
      <c r="D996" s="2">
        <v>1.98</v>
      </c>
      <c r="E996" s="2">
        <v>0.97</v>
      </c>
      <c r="F996" s="2">
        <v>50.0</v>
      </c>
      <c r="G996" s="4">
        <v>44460.884000254635</v>
      </c>
      <c r="H996" s="8">
        <v>44460.0</v>
      </c>
    </row>
    <row r="997">
      <c r="A997" s="2">
        <v>3.86</v>
      </c>
      <c r="B997" s="2">
        <v>230.4</v>
      </c>
      <c r="C997" s="2">
        <v>866.3</v>
      </c>
      <c r="D997" s="2">
        <v>1.98</v>
      </c>
      <c r="E997" s="2">
        <v>0.98</v>
      </c>
      <c r="F997" s="2">
        <v>49.9</v>
      </c>
      <c r="G997" s="4">
        <v>44460.88410775463</v>
      </c>
      <c r="H997" s="8">
        <v>44460.0</v>
      </c>
    </row>
    <row r="998">
      <c r="A998" s="2">
        <v>3.86</v>
      </c>
      <c r="B998" s="2">
        <v>230.5</v>
      </c>
      <c r="C998" s="2">
        <v>866.5</v>
      </c>
      <c r="D998" s="2">
        <v>1.99</v>
      </c>
      <c r="E998" s="2">
        <v>0.98</v>
      </c>
      <c r="F998" s="2">
        <v>49.9</v>
      </c>
      <c r="G998" s="4">
        <v>44460.88421743056</v>
      </c>
      <c r="H998" s="8">
        <v>44460.0</v>
      </c>
    </row>
    <row r="999">
      <c r="A999" s="2">
        <v>3.86</v>
      </c>
      <c r="B999" s="2">
        <v>230.5</v>
      </c>
      <c r="C999" s="2">
        <v>866.5</v>
      </c>
      <c r="D999" s="2">
        <v>1.99</v>
      </c>
      <c r="E999" s="2">
        <v>0.97</v>
      </c>
      <c r="F999" s="2">
        <v>50.0</v>
      </c>
      <c r="G999" s="4">
        <v>44460.88431916667</v>
      </c>
      <c r="H999" s="8">
        <v>44460.0</v>
      </c>
    </row>
    <row r="1000">
      <c r="A1000" s="2">
        <v>3.85</v>
      </c>
      <c r="B1000" s="2">
        <v>230.7</v>
      </c>
      <c r="C1000" s="2">
        <v>866.6</v>
      </c>
      <c r="D1000" s="2">
        <v>1.99</v>
      </c>
      <c r="E1000" s="2">
        <v>0.97</v>
      </c>
      <c r="F1000" s="2">
        <v>50.0</v>
      </c>
      <c r="G1000" s="4">
        <v>44460.88442001157</v>
      </c>
      <c r="H1000" s="8">
        <v>44460.0</v>
      </c>
    </row>
    <row r="1001">
      <c r="A1001" s="2">
        <v>3.86</v>
      </c>
      <c r="B1001" s="2">
        <v>230.6</v>
      </c>
      <c r="C1001" s="2">
        <v>866.7</v>
      </c>
      <c r="D1001" s="2">
        <v>1.99</v>
      </c>
      <c r="E1001" s="2">
        <v>0.97</v>
      </c>
      <c r="F1001" s="2">
        <v>49.9</v>
      </c>
      <c r="G1001" s="4">
        <v>44460.88452982639</v>
      </c>
      <c r="H1001" s="8">
        <v>44460.0</v>
      </c>
    </row>
    <row r="1002">
      <c r="A1002" s="2">
        <v>3.86</v>
      </c>
      <c r="B1002" s="2">
        <v>230.5</v>
      </c>
      <c r="C1002" s="2">
        <v>866.8</v>
      </c>
      <c r="D1002" s="2">
        <v>2.0</v>
      </c>
      <c r="E1002" s="2">
        <v>0.98</v>
      </c>
      <c r="F1002" s="2">
        <v>50.0</v>
      </c>
      <c r="G1002" s="4">
        <v>44460.88463263889</v>
      </c>
      <c r="H1002" s="8">
        <v>44460.0</v>
      </c>
    </row>
    <row r="1003">
      <c r="A1003" s="2">
        <v>3.86</v>
      </c>
      <c r="B1003" s="2">
        <v>230.5</v>
      </c>
      <c r="C1003" s="2">
        <v>867.0</v>
      </c>
      <c r="D1003" s="2">
        <v>2.0</v>
      </c>
      <c r="E1003" s="2">
        <v>0.97</v>
      </c>
      <c r="F1003" s="2">
        <v>50.0</v>
      </c>
      <c r="G1003" s="4">
        <v>44460.88473506944</v>
      </c>
      <c r="H1003" s="8">
        <v>44460.0</v>
      </c>
    </row>
    <row r="1004">
      <c r="A1004" s="2">
        <v>3.86</v>
      </c>
      <c r="B1004" s="2">
        <v>230.4</v>
      </c>
      <c r="C1004" s="2">
        <v>867.1</v>
      </c>
      <c r="D1004" s="2">
        <v>2.0</v>
      </c>
      <c r="E1004" s="2">
        <v>0.98</v>
      </c>
      <c r="F1004" s="2">
        <v>49.9</v>
      </c>
      <c r="G1004" s="4">
        <v>44460.88484028935</v>
      </c>
      <c r="H1004" s="8">
        <v>44460.0</v>
      </c>
    </row>
    <row r="1005">
      <c r="A1005" s="2">
        <v>3.86</v>
      </c>
      <c r="B1005" s="2">
        <v>230.6</v>
      </c>
      <c r="C1005" s="2">
        <v>867.2</v>
      </c>
      <c r="D1005" s="2">
        <v>2.0</v>
      </c>
      <c r="E1005" s="2">
        <v>0.97</v>
      </c>
      <c r="F1005" s="2">
        <v>50.0</v>
      </c>
      <c r="G1005" s="4">
        <v>44460.884951851855</v>
      </c>
      <c r="H1005" s="8">
        <v>44460.0</v>
      </c>
    </row>
    <row r="1006">
      <c r="A1006" s="2">
        <v>3.86</v>
      </c>
      <c r="B1006" s="2">
        <v>230.4</v>
      </c>
      <c r="C1006" s="2">
        <v>867.4</v>
      </c>
      <c r="D1006" s="2">
        <v>2.0</v>
      </c>
      <c r="E1006" s="2">
        <v>0.98</v>
      </c>
      <c r="F1006" s="2">
        <v>50.0</v>
      </c>
      <c r="G1006" s="4">
        <v>44460.885059479166</v>
      </c>
      <c r="H1006" s="8">
        <v>44460.0</v>
      </c>
    </row>
    <row r="1007">
      <c r="A1007" s="2">
        <v>3.86</v>
      </c>
      <c r="B1007" s="2">
        <v>230.4</v>
      </c>
      <c r="C1007" s="2">
        <v>867.5</v>
      </c>
      <c r="D1007" s="2">
        <v>2.01</v>
      </c>
      <c r="E1007" s="2">
        <v>0.97</v>
      </c>
      <c r="F1007" s="2">
        <v>50.0</v>
      </c>
      <c r="G1007" s="4">
        <v>44460.8851597801</v>
      </c>
      <c r="H1007" s="8">
        <v>44460.0</v>
      </c>
    </row>
    <row r="1008">
      <c r="A1008" s="2">
        <v>3.86</v>
      </c>
      <c r="B1008" s="2">
        <v>230.4</v>
      </c>
      <c r="C1008" s="2">
        <v>867.6</v>
      </c>
      <c r="D1008" s="2">
        <v>2.01</v>
      </c>
      <c r="E1008" s="2">
        <v>0.97</v>
      </c>
      <c r="F1008" s="2">
        <v>50.0</v>
      </c>
      <c r="G1008" s="4">
        <v>44460.88526519676</v>
      </c>
      <c r="H1008" s="8">
        <v>44460.0</v>
      </c>
    </row>
    <row r="1009">
      <c r="A1009" s="2">
        <v>3.86</v>
      </c>
      <c r="B1009" s="2">
        <v>230.4</v>
      </c>
      <c r="C1009" s="2">
        <v>867.7</v>
      </c>
      <c r="D1009" s="2">
        <v>2.01</v>
      </c>
      <c r="E1009" s="2">
        <v>0.98</v>
      </c>
      <c r="F1009" s="2">
        <v>50.0</v>
      </c>
      <c r="G1009" s="4">
        <v>44460.885375949074</v>
      </c>
      <c r="H1009" s="8">
        <v>44460.0</v>
      </c>
    </row>
    <row r="1010">
      <c r="A1010" s="2">
        <v>3.86</v>
      </c>
      <c r="B1010" s="2">
        <v>230.5</v>
      </c>
      <c r="C1010" s="2">
        <v>867.8</v>
      </c>
      <c r="D1010" s="2">
        <v>2.01</v>
      </c>
      <c r="E1010" s="2">
        <v>0.97</v>
      </c>
      <c r="F1010" s="2">
        <v>50.0</v>
      </c>
      <c r="G1010" s="4">
        <v>44460.88547789352</v>
      </c>
      <c r="H1010" s="8">
        <v>44460.0</v>
      </c>
    </row>
    <row r="1011">
      <c r="A1011" s="2">
        <v>3.86</v>
      </c>
      <c r="B1011" s="2">
        <v>230.7</v>
      </c>
      <c r="C1011" s="2">
        <v>867.9</v>
      </c>
      <c r="D1011" s="2">
        <v>2.02</v>
      </c>
      <c r="E1011" s="2">
        <v>0.97</v>
      </c>
      <c r="F1011" s="2">
        <v>50.0</v>
      </c>
      <c r="G1011" s="4">
        <v>44460.88558313657</v>
      </c>
      <c r="H1011" s="8">
        <v>44460.0</v>
      </c>
    </row>
    <row r="1012">
      <c r="A1012" s="2">
        <v>3.86</v>
      </c>
      <c r="B1012" s="2">
        <v>230.8</v>
      </c>
      <c r="C1012" s="2">
        <v>868.0</v>
      </c>
      <c r="D1012" s="2">
        <v>2.02</v>
      </c>
      <c r="E1012" s="2">
        <v>0.97</v>
      </c>
      <c r="F1012" s="2">
        <v>50.0</v>
      </c>
      <c r="G1012" s="4">
        <v>44460.885685497684</v>
      </c>
      <c r="H1012" s="8">
        <v>44460.0</v>
      </c>
    </row>
    <row r="1013">
      <c r="A1013" s="2">
        <v>3.86</v>
      </c>
      <c r="B1013" s="2">
        <v>230.8</v>
      </c>
      <c r="C1013" s="2">
        <v>868.1</v>
      </c>
      <c r="D1013" s="2">
        <v>2.02</v>
      </c>
      <c r="E1013" s="2">
        <v>0.97</v>
      </c>
      <c r="F1013" s="2">
        <v>50.0</v>
      </c>
      <c r="G1013" s="4">
        <v>44460.88579177084</v>
      </c>
      <c r="H1013" s="8">
        <v>44460.0</v>
      </c>
    </row>
    <row r="1014">
      <c r="A1014" s="2">
        <v>3.86</v>
      </c>
      <c r="B1014" s="2">
        <v>230.7</v>
      </c>
      <c r="C1014" s="2">
        <v>868.3</v>
      </c>
      <c r="D1014" s="2">
        <v>2.02</v>
      </c>
      <c r="E1014" s="2">
        <v>0.98</v>
      </c>
      <c r="F1014" s="2">
        <v>50.0</v>
      </c>
      <c r="G1014" s="4">
        <v>44460.885906041665</v>
      </c>
      <c r="H1014" s="8">
        <v>44460.0</v>
      </c>
    </row>
    <row r="1015">
      <c r="A1015" s="2">
        <v>3.86</v>
      </c>
      <c r="B1015" s="2">
        <v>230.7</v>
      </c>
      <c r="C1015" s="2">
        <v>868.4</v>
      </c>
      <c r="D1015" s="2">
        <v>2.02</v>
      </c>
      <c r="E1015" s="2">
        <v>0.97</v>
      </c>
      <c r="F1015" s="2">
        <v>50.0</v>
      </c>
      <c r="G1015" s="4">
        <v>44460.88601248842</v>
      </c>
      <c r="H1015" s="8">
        <v>44460.0</v>
      </c>
    </row>
    <row r="1016">
      <c r="A1016" s="2">
        <v>3.86</v>
      </c>
      <c r="B1016" s="2">
        <v>230.7</v>
      </c>
      <c r="C1016" s="2">
        <v>868.5</v>
      </c>
      <c r="D1016" s="2">
        <v>2.03</v>
      </c>
      <c r="E1016" s="2">
        <v>0.97</v>
      </c>
      <c r="F1016" s="2">
        <v>50.0</v>
      </c>
      <c r="G1016" s="4">
        <v>44460.886120173614</v>
      </c>
      <c r="H1016" s="8">
        <v>44460.0</v>
      </c>
    </row>
    <row r="1017">
      <c r="A1017" s="2">
        <v>3.87</v>
      </c>
      <c r="B1017" s="2">
        <v>230.5</v>
      </c>
      <c r="C1017" s="2">
        <v>868.6</v>
      </c>
      <c r="D1017" s="2">
        <v>2.03</v>
      </c>
      <c r="E1017" s="2">
        <v>0.97</v>
      </c>
      <c r="F1017" s="2">
        <v>49.9</v>
      </c>
      <c r="G1017" s="4">
        <v>44460.88623001157</v>
      </c>
      <c r="H1017" s="8">
        <v>44460.0</v>
      </c>
    </row>
    <row r="1018">
      <c r="A1018" s="2">
        <v>3.87</v>
      </c>
      <c r="B1018" s="2">
        <v>230.4</v>
      </c>
      <c r="C1018" s="2">
        <v>868.7</v>
      </c>
      <c r="D1018" s="2">
        <v>2.03</v>
      </c>
      <c r="E1018" s="2">
        <v>0.98</v>
      </c>
      <c r="F1018" s="2">
        <v>50.0</v>
      </c>
      <c r="G1018" s="4">
        <v>44460.88633689815</v>
      </c>
      <c r="H1018" s="8">
        <v>44460.0</v>
      </c>
    </row>
    <row r="1019">
      <c r="A1019" s="2">
        <v>3.87</v>
      </c>
      <c r="B1019" s="2">
        <v>230.4</v>
      </c>
      <c r="C1019" s="2">
        <v>868.9</v>
      </c>
      <c r="D1019" s="2">
        <v>2.03</v>
      </c>
      <c r="E1019" s="2">
        <v>0.97</v>
      </c>
      <c r="F1019" s="2">
        <v>50.0</v>
      </c>
      <c r="G1019" s="4">
        <v>44460.88643722222</v>
      </c>
      <c r="H1019" s="8">
        <v>44460.0</v>
      </c>
    </row>
    <row r="1020">
      <c r="A1020" s="2">
        <v>3.87</v>
      </c>
      <c r="B1020" s="2">
        <v>230.3</v>
      </c>
      <c r="C1020" s="2">
        <v>869.0</v>
      </c>
      <c r="D1020" s="2">
        <v>2.04</v>
      </c>
      <c r="E1020" s="2">
        <v>0.98</v>
      </c>
      <c r="F1020" s="2">
        <v>50.0</v>
      </c>
      <c r="G1020" s="4">
        <v>44460.886543333334</v>
      </c>
      <c r="H1020" s="8">
        <v>44460.0</v>
      </c>
    </row>
    <row r="1021">
      <c r="A1021" s="2">
        <v>3.87</v>
      </c>
      <c r="B1021" s="2">
        <v>230.3</v>
      </c>
      <c r="C1021" s="2">
        <v>869.1</v>
      </c>
      <c r="D1021" s="2">
        <v>2.04</v>
      </c>
      <c r="E1021" s="2">
        <v>0.98</v>
      </c>
      <c r="F1021" s="2">
        <v>49.9</v>
      </c>
      <c r="G1021" s="4">
        <v>44460.88665443287</v>
      </c>
      <c r="H1021" s="8">
        <v>44460.0</v>
      </c>
    </row>
    <row r="1022">
      <c r="A1022" s="2">
        <v>3.87</v>
      </c>
      <c r="B1022" s="2">
        <v>230.2</v>
      </c>
      <c r="C1022" s="2">
        <v>869.3</v>
      </c>
      <c r="D1022" s="2">
        <v>2.04</v>
      </c>
      <c r="E1022" s="2">
        <v>0.98</v>
      </c>
      <c r="F1022" s="2">
        <v>49.9</v>
      </c>
      <c r="G1022" s="4">
        <v>44460.886761828704</v>
      </c>
      <c r="H1022" s="8">
        <v>44460.0</v>
      </c>
    </row>
    <row r="1023">
      <c r="A1023" s="2">
        <v>3.88</v>
      </c>
      <c r="B1023" s="2">
        <v>230.1</v>
      </c>
      <c r="C1023" s="2">
        <v>869.4</v>
      </c>
      <c r="D1023" s="2">
        <v>2.04</v>
      </c>
      <c r="E1023" s="2">
        <v>0.98</v>
      </c>
      <c r="F1023" s="2">
        <v>49.9</v>
      </c>
      <c r="G1023" s="4">
        <v>44460.886863761574</v>
      </c>
      <c r="H1023" s="8">
        <v>44460.0</v>
      </c>
    </row>
    <row r="1024">
      <c r="A1024" s="2">
        <v>3.88</v>
      </c>
      <c r="B1024" s="2">
        <v>230.1</v>
      </c>
      <c r="C1024" s="2">
        <v>869.5</v>
      </c>
      <c r="D1024" s="2">
        <v>2.04</v>
      </c>
      <c r="E1024" s="2">
        <v>0.98</v>
      </c>
      <c r="F1024" s="2">
        <v>50.0</v>
      </c>
      <c r="G1024" s="4">
        <v>44460.886965405094</v>
      </c>
      <c r="H1024" s="8">
        <v>44460.0</v>
      </c>
    </row>
    <row r="1025">
      <c r="A1025" s="2">
        <v>3.88</v>
      </c>
      <c r="B1025" s="2">
        <v>230.1</v>
      </c>
      <c r="C1025" s="2">
        <v>869.6</v>
      </c>
      <c r="D1025" s="2">
        <v>2.05</v>
      </c>
      <c r="E1025" s="2">
        <v>0.97</v>
      </c>
      <c r="F1025" s="2">
        <v>50.0</v>
      </c>
      <c r="G1025" s="4">
        <v>44460.887065567134</v>
      </c>
      <c r="H1025" s="8">
        <v>44460.0</v>
      </c>
    </row>
    <row r="1026">
      <c r="A1026" s="2">
        <v>3.88</v>
      </c>
      <c r="B1026" s="2">
        <v>230.1</v>
      </c>
      <c r="C1026" s="2">
        <v>869.7</v>
      </c>
      <c r="D1026" s="2">
        <v>2.05</v>
      </c>
      <c r="E1026" s="2">
        <v>0.97</v>
      </c>
      <c r="F1026" s="2">
        <v>49.9</v>
      </c>
      <c r="G1026" s="4">
        <v>44460.88716991898</v>
      </c>
      <c r="H1026" s="8">
        <v>44460.0</v>
      </c>
    </row>
    <row r="1027">
      <c r="A1027" s="2">
        <v>3.87</v>
      </c>
      <c r="B1027" s="2">
        <v>230.4</v>
      </c>
      <c r="C1027" s="2">
        <v>869.8</v>
      </c>
      <c r="D1027" s="2">
        <v>2.05</v>
      </c>
      <c r="E1027" s="2">
        <v>0.97</v>
      </c>
      <c r="F1027" s="2">
        <v>50.0</v>
      </c>
      <c r="G1027" s="4">
        <v>44460.887273761575</v>
      </c>
      <c r="H1027" s="8">
        <v>44460.0</v>
      </c>
    </row>
    <row r="1028">
      <c r="A1028" s="2">
        <v>3.87</v>
      </c>
      <c r="B1028" s="2">
        <v>230.5</v>
      </c>
      <c r="C1028" s="2">
        <v>869.8</v>
      </c>
      <c r="D1028" s="2">
        <v>2.05</v>
      </c>
      <c r="E1028" s="2">
        <v>0.97</v>
      </c>
      <c r="F1028" s="2">
        <v>50.0</v>
      </c>
      <c r="G1028" s="4">
        <v>44460.88737762731</v>
      </c>
      <c r="H1028" s="8">
        <v>44460.0</v>
      </c>
    </row>
    <row r="1029">
      <c r="A1029" s="2">
        <v>3.87</v>
      </c>
      <c r="B1029" s="2">
        <v>230.6</v>
      </c>
      <c r="C1029" s="2">
        <v>870.0</v>
      </c>
      <c r="D1029" s="2">
        <v>2.05</v>
      </c>
      <c r="E1029" s="2">
        <v>0.97</v>
      </c>
      <c r="F1029" s="2">
        <v>50.0</v>
      </c>
      <c r="G1029" s="4">
        <v>44460.887478206016</v>
      </c>
      <c r="H1029" s="8">
        <v>44460.0</v>
      </c>
    </row>
    <row r="1030">
      <c r="A1030" s="2">
        <v>3.87</v>
      </c>
      <c r="B1030" s="2">
        <v>230.5</v>
      </c>
      <c r="C1030" s="2">
        <v>870.2</v>
      </c>
      <c r="D1030" s="2">
        <v>2.06</v>
      </c>
      <c r="E1030" s="2">
        <v>0.98</v>
      </c>
      <c r="F1030" s="2">
        <v>50.0</v>
      </c>
      <c r="G1030" s="4">
        <v>44460.8875805787</v>
      </c>
      <c r="H1030" s="8">
        <v>44460.0</v>
      </c>
    </row>
    <row r="1031">
      <c r="A1031" s="2">
        <v>3.87</v>
      </c>
      <c r="B1031" s="2">
        <v>230.7</v>
      </c>
      <c r="C1031" s="2">
        <v>870.2</v>
      </c>
      <c r="D1031" s="2">
        <v>2.06</v>
      </c>
      <c r="E1031" s="2">
        <v>0.97</v>
      </c>
      <c r="F1031" s="2">
        <v>50.0</v>
      </c>
      <c r="G1031" s="4">
        <v>44460.88767967593</v>
      </c>
      <c r="H1031" s="8">
        <v>44460.0</v>
      </c>
    </row>
    <row r="1032">
      <c r="A1032" s="2">
        <v>3.87</v>
      </c>
      <c r="B1032" s="2">
        <v>230.7</v>
      </c>
      <c r="C1032" s="2">
        <v>870.3</v>
      </c>
      <c r="D1032" s="2">
        <v>2.06</v>
      </c>
      <c r="E1032" s="2">
        <v>0.97</v>
      </c>
      <c r="F1032" s="2">
        <v>50.0</v>
      </c>
      <c r="G1032" s="4">
        <v>44460.88778034722</v>
      </c>
      <c r="H1032" s="8">
        <v>44460.0</v>
      </c>
    </row>
    <row r="1033">
      <c r="A1033" s="2">
        <v>3.87</v>
      </c>
      <c r="B1033" s="2">
        <v>230.6</v>
      </c>
      <c r="C1033" s="2">
        <v>870.5</v>
      </c>
      <c r="D1033" s="2">
        <v>2.06</v>
      </c>
      <c r="E1033" s="2">
        <v>0.97</v>
      </c>
      <c r="F1033" s="2">
        <v>50.0</v>
      </c>
      <c r="G1033" s="4">
        <v>44460.88788174768</v>
      </c>
      <c r="H1033" s="8">
        <v>44460.0</v>
      </c>
    </row>
    <row r="1034">
      <c r="A1034" s="2">
        <v>3.87</v>
      </c>
      <c r="B1034" s="2">
        <v>230.6</v>
      </c>
      <c r="C1034" s="2">
        <v>870.6</v>
      </c>
      <c r="D1034" s="2">
        <v>2.07</v>
      </c>
      <c r="E1034" s="2">
        <v>0.98</v>
      </c>
      <c r="F1034" s="2">
        <v>50.0</v>
      </c>
      <c r="G1034" s="4">
        <v>44460.88798575231</v>
      </c>
      <c r="H1034" s="8">
        <v>44460.0</v>
      </c>
    </row>
    <row r="1035">
      <c r="A1035" s="2">
        <v>3.87</v>
      </c>
      <c r="B1035" s="2">
        <v>230.5</v>
      </c>
      <c r="C1035" s="2">
        <v>870.8</v>
      </c>
      <c r="D1035" s="2">
        <v>2.07</v>
      </c>
      <c r="E1035" s="2">
        <v>0.98</v>
      </c>
      <c r="F1035" s="2">
        <v>50.0</v>
      </c>
      <c r="G1035" s="4">
        <v>44460.88809623843</v>
      </c>
      <c r="H1035" s="8">
        <v>44460.0</v>
      </c>
    </row>
    <row r="1036">
      <c r="A1036" s="2">
        <v>3.87</v>
      </c>
      <c r="B1036" s="2">
        <v>230.6</v>
      </c>
      <c r="C1036" s="2">
        <v>870.9</v>
      </c>
      <c r="D1036" s="2">
        <v>2.07</v>
      </c>
      <c r="E1036" s="2">
        <v>0.97</v>
      </c>
      <c r="F1036" s="2">
        <v>50.0</v>
      </c>
      <c r="G1036" s="4">
        <v>44460.88820112268</v>
      </c>
      <c r="H1036" s="8">
        <v>44460.0</v>
      </c>
    </row>
    <row r="1037">
      <c r="A1037" s="2">
        <v>3.88</v>
      </c>
      <c r="B1037" s="2">
        <v>230.6</v>
      </c>
      <c r="C1037" s="2">
        <v>871.0</v>
      </c>
      <c r="D1037" s="2">
        <v>2.07</v>
      </c>
      <c r="E1037" s="2">
        <v>0.97</v>
      </c>
      <c r="F1037" s="2">
        <v>50.0</v>
      </c>
      <c r="G1037" s="4">
        <v>44460.88830225695</v>
      </c>
      <c r="H1037" s="8">
        <v>44460.0</v>
      </c>
    </row>
    <row r="1038">
      <c r="A1038" s="2">
        <v>3.88</v>
      </c>
      <c r="B1038" s="2">
        <v>230.5</v>
      </c>
      <c r="C1038" s="2">
        <v>871.1</v>
      </c>
      <c r="D1038" s="2">
        <v>2.07</v>
      </c>
      <c r="E1038" s="2">
        <v>0.98</v>
      </c>
      <c r="F1038" s="2">
        <v>50.0</v>
      </c>
      <c r="G1038" s="4">
        <v>44460.88840831019</v>
      </c>
      <c r="H1038" s="8">
        <v>44460.0</v>
      </c>
    </row>
    <row r="1039">
      <c r="A1039" s="2">
        <v>3.88</v>
      </c>
      <c r="B1039" s="2">
        <v>230.5</v>
      </c>
      <c r="C1039" s="2">
        <v>871.3</v>
      </c>
      <c r="D1039" s="2">
        <v>2.08</v>
      </c>
      <c r="E1039" s="2">
        <v>0.97</v>
      </c>
      <c r="F1039" s="2">
        <v>49.9</v>
      </c>
      <c r="G1039" s="4">
        <v>44460.8885400463</v>
      </c>
      <c r="H1039" s="8">
        <v>44460.0</v>
      </c>
    </row>
    <row r="1040">
      <c r="A1040" s="2">
        <v>3.88</v>
      </c>
      <c r="B1040" s="2">
        <v>230.5</v>
      </c>
      <c r="C1040" s="2">
        <v>871.3</v>
      </c>
      <c r="D1040" s="2">
        <v>2.08</v>
      </c>
      <c r="E1040" s="2">
        <v>0.97</v>
      </c>
      <c r="F1040" s="2">
        <v>49.9</v>
      </c>
      <c r="G1040" s="4">
        <v>44460.8886455787</v>
      </c>
      <c r="H1040" s="8">
        <v>44460.0</v>
      </c>
    </row>
    <row r="1041">
      <c r="A1041" s="2">
        <v>3.88</v>
      </c>
      <c r="B1041" s="2">
        <v>230.6</v>
      </c>
      <c r="C1041" s="2">
        <v>871.4</v>
      </c>
      <c r="D1041" s="2">
        <v>2.08</v>
      </c>
      <c r="E1041" s="2">
        <v>0.97</v>
      </c>
      <c r="F1041" s="2">
        <v>50.0</v>
      </c>
      <c r="G1041" s="4">
        <v>44460.88874454861</v>
      </c>
      <c r="H1041" s="8">
        <v>44460.0</v>
      </c>
    </row>
    <row r="1042">
      <c r="A1042" s="2">
        <v>3.88</v>
      </c>
      <c r="B1042" s="2">
        <v>230.6</v>
      </c>
      <c r="C1042" s="2">
        <v>871.6</v>
      </c>
      <c r="D1042" s="2">
        <v>2.08</v>
      </c>
      <c r="E1042" s="2">
        <v>0.97</v>
      </c>
      <c r="F1042" s="2">
        <v>50.0</v>
      </c>
      <c r="G1042" s="4">
        <v>44460.88888496528</v>
      </c>
      <c r="H1042" s="8">
        <v>44460.0</v>
      </c>
    </row>
    <row r="1043">
      <c r="A1043" s="2">
        <v>3.88</v>
      </c>
      <c r="B1043" s="2">
        <v>230.5</v>
      </c>
      <c r="C1043" s="2">
        <v>871.8</v>
      </c>
      <c r="D1043" s="2">
        <v>2.09</v>
      </c>
      <c r="E1043" s="2">
        <v>0.98</v>
      </c>
      <c r="F1043" s="2">
        <v>50.0</v>
      </c>
      <c r="G1043" s="4">
        <v>44460.888994560184</v>
      </c>
      <c r="H1043" s="8">
        <v>44460.0</v>
      </c>
    </row>
    <row r="1044">
      <c r="A1044" s="2">
        <v>3.88</v>
      </c>
      <c r="B1044" s="2">
        <v>230.5</v>
      </c>
      <c r="C1044" s="2">
        <v>871.9</v>
      </c>
      <c r="D1044" s="2">
        <v>2.09</v>
      </c>
      <c r="E1044" s="2">
        <v>0.97</v>
      </c>
      <c r="F1044" s="2">
        <v>50.0</v>
      </c>
      <c r="G1044" s="4">
        <v>44460.88910997685</v>
      </c>
      <c r="H1044" s="8">
        <v>44460.0</v>
      </c>
    </row>
    <row r="1045">
      <c r="A1045" s="2">
        <v>3.88</v>
      </c>
      <c r="B1045" s="2">
        <v>230.5</v>
      </c>
      <c r="C1045" s="2">
        <v>872.0</v>
      </c>
      <c r="D1045" s="2">
        <v>2.09</v>
      </c>
      <c r="E1045" s="2">
        <v>0.97</v>
      </c>
      <c r="F1045" s="2">
        <v>50.0</v>
      </c>
      <c r="G1045" s="4">
        <v>44460.88921540509</v>
      </c>
      <c r="H1045" s="8">
        <v>44460.0</v>
      </c>
    </row>
    <row r="1046">
      <c r="A1046" s="2">
        <v>3.88</v>
      </c>
      <c r="B1046" s="2">
        <v>230.5</v>
      </c>
      <c r="C1046" s="2">
        <v>872.1</v>
      </c>
      <c r="D1046" s="2">
        <v>2.09</v>
      </c>
      <c r="E1046" s="2">
        <v>0.98</v>
      </c>
      <c r="F1046" s="2">
        <v>50.0</v>
      </c>
      <c r="G1046" s="4">
        <v>44460.889316076384</v>
      </c>
      <c r="H1046" s="8">
        <v>44460.0</v>
      </c>
    </row>
    <row r="1047">
      <c r="A1047" s="2">
        <v>3.88</v>
      </c>
      <c r="B1047" s="2">
        <v>230.3</v>
      </c>
      <c r="C1047" s="2">
        <v>872.3</v>
      </c>
      <c r="D1047" s="2">
        <v>2.1</v>
      </c>
      <c r="E1047" s="2">
        <v>0.98</v>
      </c>
      <c r="F1047" s="2">
        <v>50.0</v>
      </c>
      <c r="G1047" s="4">
        <v>44460.88941659722</v>
      </c>
      <c r="H1047" s="8">
        <v>44460.0</v>
      </c>
    </row>
    <row r="1048">
      <c r="A1048" s="2">
        <v>3.88</v>
      </c>
      <c r="B1048" s="2">
        <v>230.3</v>
      </c>
      <c r="C1048" s="2">
        <v>872.4</v>
      </c>
      <c r="D1048" s="2">
        <v>2.1</v>
      </c>
      <c r="E1048" s="2">
        <v>0.98</v>
      </c>
      <c r="F1048" s="2">
        <v>50.0</v>
      </c>
      <c r="G1048" s="4">
        <v>44460.88952069444</v>
      </c>
      <c r="H1048" s="8">
        <v>44460.0</v>
      </c>
    </row>
    <row r="1049">
      <c r="A1049" s="2">
        <v>3.89</v>
      </c>
      <c r="B1049" s="2">
        <v>230.2</v>
      </c>
      <c r="C1049" s="2">
        <v>872.5</v>
      </c>
      <c r="D1049" s="2">
        <v>2.1</v>
      </c>
      <c r="E1049" s="2">
        <v>0.98</v>
      </c>
      <c r="F1049" s="2">
        <v>50.0</v>
      </c>
      <c r="G1049" s="4">
        <v>44460.889633865736</v>
      </c>
      <c r="H1049" s="8">
        <v>44460.0</v>
      </c>
    </row>
    <row r="1050">
      <c r="A1050" s="2">
        <v>3.89</v>
      </c>
      <c r="B1050" s="2">
        <v>230.3</v>
      </c>
      <c r="C1050" s="2">
        <v>872.6</v>
      </c>
      <c r="D1050" s="2">
        <v>2.1</v>
      </c>
      <c r="E1050" s="2">
        <v>0.97</v>
      </c>
      <c r="F1050" s="2">
        <v>50.0</v>
      </c>
      <c r="G1050" s="4">
        <v>44460.889735000004</v>
      </c>
      <c r="H1050" s="8">
        <v>44460.0</v>
      </c>
    </row>
    <row r="1051">
      <c r="A1051" s="2">
        <v>3.89</v>
      </c>
      <c r="B1051" s="2">
        <v>230.3</v>
      </c>
      <c r="C1051" s="2">
        <v>872.7</v>
      </c>
      <c r="D1051" s="2">
        <v>2.1</v>
      </c>
      <c r="E1051" s="2">
        <v>0.97</v>
      </c>
      <c r="F1051" s="2">
        <v>50.0</v>
      </c>
      <c r="G1051" s="4">
        <v>44460.88983738426</v>
      </c>
      <c r="H1051" s="8">
        <v>44460.0</v>
      </c>
    </row>
    <row r="1052">
      <c r="A1052" s="2">
        <v>3.89</v>
      </c>
      <c r="B1052" s="2">
        <v>230.4</v>
      </c>
      <c r="C1052" s="2">
        <v>872.8</v>
      </c>
      <c r="D1052" s="2">
        <v>2.11</v>
      </c>
      <c r="E1052" s="2">
        <v>0.97</v>
      </c>
      <c r="F1052" s="2">
        <v>50.0</v>
      </c>
      <c r="G1052" s="4">
        <v>44460.889937025466</v>
      </c>
      <c r="H1052" s="8">
        <v>44460.0</v>
      </c>
    </row>
    <row r="1053">
      <c r="A1053" s="2">
        <v>3.89</v>
      </c>
      <c r="B1053" s="2">
        <v>230.4</v>
      </c>
      <c r="C1053" s="2">
        <v>872.9</v>
      </c>
      <c r="D1053" s="2">
        <v>2.11</v>
      </c>
      <c r="E1053" s="2">
        <v>0.97</v>
      </c>
      <c r="F1053" s="2">
        <v>50.0</v>
      </c>
      <c r="G1053" s="4">
        <v>44460.89004398148</v>
      </c>
      <c r="H1053" s="8">
        <v>44460.0</v>
      </c>
    </row>
    <row r="1054">
      <c r="A1054" s="2">
        <v>3.89</v>
      </c>
      <c r="B1054" s="2">
        <v>230.4</v>
      </c>
      <c r="C1054" s="2">
        <v>873.0</v>
      </c>
      <c r="D1054" s="2">
        <v>2.11</v>
      </c>
      <c r="E1054" s="2">
        <v>0.98</v>
      </c>
      <c r="F1054" s="2">
        <v>50.0</v>
      </c>
      <c r="G1054" s="4">
        <v>44460.89014863426</v>
      </c>
      <c r="H1054" s="8">
        <v>44460.0</v>
      </c>
    </row>
    <row r="1055">
      <c r="A1055" s="2">
        <v>3.88</v>
      </c>
      <c r="B1055" s="2">
        <v>230.8</v>
      </c>
      <c r="C1055" s="2">
        <v>873.1</v>
      </c>
      <c r="D1055" s="2">
        <v>2.11</v>
      </c>
      <c r="E1055" s="2">
        <v>0.97</v>
      </c>
      <c r="F1055" s="2">
        <v>50.0</v>
      </c>
      <c r="G1055" s="4">
        <v>44460.890251226854</v>
      </c>
      <c r="H1055" s="8">
        <v>44460.0</v>
      </c>
    </row>
    <row r="1056">
      <c r="A1056" s="2">
        <v>3.88</v>
      </c>
      <c r="B1056" s="2">
        <v>230.7</v>
      </c>
      <c r="C1056" s="2">
        <v>873.2</v>
      </c>
      <c r="D1056" s="2">
        <v>2.12</v>
      </c>
      <c r="E1056" s="2">
        <v>0.97</v>
      </c>
      <c r="F1056" s="2">
        <v>50.0</v>
      </c>
      <c r="G1056" s="4">
        <v>44460.89035108796</v>
      </c>
      <c r="H1056" s="8">
        <v>44460.0</v>
      </c>
    </row>
    <row r="1057">
      <c r="A1057" s="2">
        <v>3.88</v>
      </c>
      <c r="B1057" s="2">
        <v>230.8</v>
      </c>
      <c r="C1057" s="2">
        <v>873.3</v>
      </c>
      <c r="D1057" s="2">
        <v>2.12</v>
      </c>
      <c r="E1057" s="2">
        <v>0.97</v>
      </c>
      <c r="F1057" s="2">
        <v>50.0</v>
      </c>
      <c r="G1057" s="4">
        <v>44460.89048637731</v>
      </c>
      <c r="H1057" s="8">
        <v>44460.0</v>
      </c>
    </row>
    <row r="1058">
      <c r="A1058" s="2">
        <v>3.88</v>
      </c>
      <c r="B1058" s="2">
        <v>230.8</v>
      </c>
      <c r="C1058" s="2">
        <v>873.5</v>
      </c>
      <c r="D1058" s="2">
        <v>2.12</v>
      </c>
      <c r="E1058" s="2">
        <v>0.97</v>
      </c>
      <c r="F1058" s="2">
        <v>50.0</v>
      </c>
      <c r="G1058" s="4">
        <v>44460.890590462965</v>
      </c>
      <c r="H1058" s="8">
        <v>44460.0</v>
      </c>
    </row>
    <row r="1059">
      <c r="A1059" s="2">
        <v>3.88</v>
      </c>
      <c r="B1059" s="2">
        <v>230.8</v>
      </c>
      <c r="C1059" s="2">
        <v>873.6</v>
      </c>
      <c r="D1059" s="2">
        <v>2.12</v>
      </c>
      <c r="E1059" s="2">
        <v>0.98</v>
      </c>
      <c r="F1059" s="2">
        <v>50.0</v>
      </c>
      <c r="G1059" s="4">
        <v>44460.890691134264</v>
      </c>
      <c r="H1059" s="8">
        <v>44460.0</v>
      </c>
    </row>
    <row r="1060">
      <c r="A1060" s="2">
        <v>3.89</v>
      </c>
      <c r="B1060" s="2">
        <v>230.6</v>
      </c>
      <c r="C1060" s="2">
        <v>873.7</v>
      </c>
      <c r="D1060" s="2">
        <v>2.12</v>
      </c>
      <c r="E1060" s="2">
        <v>0.97</v>
      </c>
      <c r="F1060" s="2">
        <v>50.0</v>
      </c>
      <c r="G1060" s="4">
        <v>44460.89079409723</v>
      </c>
      <c r="H1060" s="8">
        <v>44460.0</v>
      </c>
    </row>
    <row r="1061">
      <c r="A1061" s="2">
        <v>3.89</v>
      </c>
      <c r="B1061" s="2">
        <v>230.5</v>
      </c>
      <c r="C1061" s="2">
        <v>873.9</v>
      </c>
      <c r="D1061" s="2">
        <v>2.13</v>
      </c>
      <c r="E1061" s="2">
        <v>0.97</v>
      </c>
      <c r="F1061" s="2">
        <v>50.0</v>
      </c>
      <c r="G1061" s="4">
        <v>44460.89090032407</v>
      </c>
      <c r="H1061" s="8">
        <v>44460.0</v>
      </c>
    </row>
    <row r="1062">
      <c r="A1062" s="2">
        <v>3.89</v>
      </c>
      <c r="B1062" s="2">
        <v>230.5</v>
      </c>
      <c r="C1062" s="2">
        <v>874.0</v>
      </c>
      <c r="D1062" s="2">
        <v>2.13</v>
      </c>
      <c r="E1062" s="2">
        <v>0.97</v>
      </c>
      <c r="F1062" s="2">
        <v>49.9</v>
      </c>
      <c r="G1062" s="4">
        <v>44460.891001041666</v>
      </c>
      <c r="H1062" s="8">
        <v>44460.0</v>
      </c>
    </row>
    <row r="1063">
      <c r="A1063" s="2">
        <v>3.89</v>
      </c>
      <c r="B1063" s="2">
        <v>230.5</v>
      </c>
      <c r="C1063" s="2">
        <v>874.1</v>
      </c>
      <c r="D1063" s="2">
        <v>2.13</v>
      </c>
      <c r="E1063" s="2">
        <v>0.97</v>
      </c>
      <c r="F1063" s="2">
        <v>49.9</v>
      </c>
      <c r="G1063" s="4">
        <v>44460.89110296297</v>
      </c>
      <c r="H1063" s="8">
        <v>44460.0</v>
      </c>
    </row>
    <row r="1064">
      <c r="A1064" s="2">
        <v>3.89</v>
      </c>
      <c r="B1064" s="2">
        <v>230.5</v>
      </c>
      <c r="C1064" s="2">
        <v>874.3</v>
      </c>
      <c r="D1064" s="2">
        <v>2.13</v>
      </c>
      <c r="E1064" s="2">
        <v>0.97</v>
      </c>
      <c r="F1064" s="2">
        <v>49.9</v>
      </c>
      <c r="G1064" s="4">
        <v>44460.89120320602</v>
      </c>
      <c r="H1064" s="8">
        <v>44460.0</v>
      </c>
    </row>
    <row r="1065">
      <c r="A1065" s="2">
        <v>3.89</v>
      </c>
      <c r="B1065" s="2">
        <v>230.5</v>
      </c>
      <c r="C1065" s="2">
        <v>874.3</v>
      </c>
      <c r="D1065" s="2">
        <v>2.13</v>
      </c>
      <c r="E1065" s="2">
        <v>0.97</v>
      </c>
      <c r="F1065" s="2">
        <v>50.0</v>
      </c>
      <c r="G1065" s="4">
        <v>44460.89130592592</v>
      </c>
      <c r="H1065" s="8">
        <v>44460.0</v>
      </c>
    </row>
    <row r="1066">
      <c r="A1066" s="2">
        <v>3.89</v>
      </c>
      <c r="B1066" s="2">
        <v>230.4</v>
      </c>
      <c r="C1066" s="2">
        <v>874.5</v>
      </c>
      <c r="D1066" s="2">
        <v>2.14</v>
      </c>
      <c r="E1066" s="2">
        <v>0.97</v>
      </c>
      <c r="F1066" s="2">
        <v>49.9</v>
      </c>
      <c r="G1066" s="4">
        <v>44460.891407800926</v>
      </c>
      <c r="H1066" s="8">
        <v>44460.0</v>
      </c>
    </row>
    <row r="1067">
      <c r="A1067" s="2">
        <v>3.89</v>
      </c>
      <c r="B1067" s="2">
        <v>230.4</v>
      </c>
      <c r="C1067" s="2">
        <v>874.6</v>
      </c>
      <c r="D1067" s="2">
        <v>2.14</v>
      </c>
      <c r="E1067" s="2">
        <v>0.98</v>
      </c>
      <c r="F1067" s="2">
        <v>49.9</v>
      </c>
      <c r="G1067" s="4">
        <v>44460.89151255787</v>
      </c>
      <c r="H1067" s="8">
        <v>44460.0</v>
      </c>
    </row>
    <row r="1068">
      <c r="A1068" s="2">
        <v>3.89</v>
      </c>
      <c r="B1068" s="2">
        <v>230.5</v>
      </c>
      <c r="C1068" s="2">
        <v>874.7</v>
      </c>
      <c r="D1068" s="2">
        <v>2.14</v>
      </c>
      <c r="E1068" s="2">
        <v>0.97</v>
      </c>
      <c r="F1068" s="2">
        <v>49.9</v>
      </c>
      <c r="G1068" s="4">
        <v>44460.891615706016</v>
      </c>
      <c r="H1068" s="8">
        <v>44460.0</v>
      </c>
    </row>
    <row r="1069">
      <c r="A1069" s="2">
        <v>3.89</v>
      </c>
      <c r="B1069" s="2">
        <v>230.4</v>
      </c>
      <c r="C1069" s="2">
        <v>874.8</v>
      </c>
      <c r="D1069" s="2">
        <v>2.14</v>
      </c>
      <c r="E1069" s="2">
        <v>0.97</v>
      </c>
      <c r="F1069" s="2">
        <v>49.9</v>
      </c>
      <c r="G1069" s="4">
        <v>44460.89172181713</v>
      </c>
      <c r="H1069" s="8">
        <v>44460.0</v>
      </c>
    </row>
    <row r="1070">
      <c r="A1070" s="2">
        <v>3.9</v>
      </c>
      <c r="B1070" s="2">
        <v>230.3</v>
      </c>
      <c r="C1070" s="2">
        <v>875.0</v>
      </c>
      <c r="D1070" s="2">
        <v>2.15</v>
      </c>
      <c r="E1070" s="2">
        <v>0.97</v>
      </c>
      <c r="F1070" s="2">
        <v>49.9</v>
      </c>
      <c r="G1070" s="4">
        <v>44460.891825046296</v>
      </c>
      <c r="H1070" s="8">
        <v>44460.0</v>
      </c>
    </row>
    <row r="1071">
      <c r="A1071" s="2">
        <v>3.9</v>
      </c>
      <c r="B1071" s="2">
        <v>230.3</v>
      </c>
      <c r="C1071" s="2">
        <v>875.0</v>
      </c>
      <c r="D1071" s="2">
        <v>2.15</v>
      </c>
      <c r="E1071" s="2">
        <v>0.97</v>
      </c>
      <c r="F1071" s="2">
        <v>50.0</v>
      </c>
      <c r="G1071" s="4">
        <v>44460.89193511574</v>
      </c>
      <c r="H1071" s="8">
        <v>44460.0</v>
      </c>
    </row>
    <row r="1072">
      <c r="A1072" s="2">
        <v>3.9</v>
      </c>
      <c r="B1072" s="2">
        <v>230.3</v>
      </c>
      <c r="C1072" s="2">
        <v>875.3</v>
      </c>
      <c r="D1072" s="2">
        <v>2.15</v>
      </c>
      <c r="E1072" s="2">
        <v>0.97</v>
      </c>
      <c r="F1072" s="2">
        <v>49.9</v>
      </c>
      <c r="G1072" s="4">
        <v>44460.892068229165</v>
      </c>
      <c r="H1072" s="8">
        <v>44460.0</v>
      </c>
    </row>
    <row r="1073">
      <c r="A1073" s="2">
        <v>3.9</v>
      </c>
      <c r="B1073" s="2">
        <v>230.3</v>
      </c>
      <c r="C1073" s="2">
        <v>875.4</v>
      </c>
      <c r="D1073" s="2">
        <v>2.15</v>
      </c>
      <c r="E1073" s="2">
        <v>0.97</v>
      </c>
      <c r="F1073" s="2">
        <v>49.9</v>
      </c>
      <c r="G1073" s="4">
        <v>44460.89221101852</v>
      </c>
      <c r="H1073" s="8">
        <v>44460.0</v>
      </c>
    </row>
    <row r="1074">
      <c r="A1074" s="2">
        <v>3.9</v>
      </c>
      <c r="B1074" s="2">
        <v>230.3</v>
      </c>
      <c r="C1074" s="2">
        <v>875.5</v>
      </c>
      <c r="D1074" s="2">
        <v>2.16</v>
      </c>
      <c r="E1074" s="2">
        <v>0.98</v>
      </c>
      <c r="F1074" s="2">
        <v>50.0</v>
      </c>
      <c r="G1074" s="4">
        <v>44460.892317233796</v>
      </c>
      <c r="H1074" s="8">
        <v>44460.0</v>
      </c>
    </row>
    <row r="1075">
      <c r="A1075" s="2">
        <v>3.9</v>
      </c>
      <c r="B1075" s="2">
        <v>230.4</v>
      </c>
      <c r="C1075" s="2">
        <v>875.6</v>
      </c>
      <c r="D1075" s="2">
        <v>2.16</v>
      </c>
      <c r="E1075" s="2">
        <v>0.97</v>
      </c>
      <c r="F1075" s="2">
        <v>50.0</v>
      </c>
      <c r="G1075" s="4">
        <v>44460.892412939815</v>
      </c>
      <c r="H1075" s="8">
        <v>44460.0</v>
      </c>
    </row>
    <row r="1076">
      <c r="A1076" s="2">
        <v>3.9</v>
      </c>
      <c r="B1076" s="2">
        <v>230.5</v>
      </c>
      <c r="C1076" s="2">
        <v>875.8</v>
      </c>
      <c r="D1076" s="2">
        <v>2.16</v>
      </c>
      <c r="E1076" s="2">
        <v>0.97</v>
      </c>
      <c r="F1076" s="2">
        <v>50.0</v>
      </c>
      <c r="G1076" s="4">
        <v>44460.892510879625</v>
      </c>
      <c r="H1076" s="8">
        <v>44460.0</v>
      </c>
    </row>
    <row r="1077">
      <c r="A1077" s="2">
        <v>3.9</v>
      </c>
      <c r="B1077" s="2">
        <v>230.5</v>
      </c>
      <c r="C1077" s="2">
        <v>875.9</v>
      </c>
      <c r="D1077" s="2">
        <v>2.16</v>
      </c>
      <c r="E1077" s="2">
        <v>0.97</v>
      </c>
      <c r="F1077" s="2">
        <v>50.0</v>
      </c>
      <c r="G1077" s="4">
        <v>44460.89261094907</v>
      </c>
      <c r="H1077" s="8">
        <v>44460.0</v>
      </c>
    </row>
    <row r="1078">
      <c r="A1078" s="2">
        <v>3.9</v>
      </c>
      <c r="B1078" s="2">
        <v>230.6</v>
      </c>
      <c r="C1078" s="2">
        <v>876.0</v>
      </c>
      <c r="D1078" s="2">
        <v>2.16</v>
      </c>
      <c r="E1078" s="2">
        <v>0.98</v>
      </c>
      <c r="F1078" s="2">
        <v>50.0</v>
      </c>
      <c r="G1078" s="4">
        <v>44460.89271127315</v>
      </c>
      <c r="H1078" s="8">
        <v>44460.0</v>
      </c>
    </row>
    <row r="1079">
      <c r="A1079" s="2">
        <v>3.9</v>
      </c>
      <c r="B1079" s="2">
        <v>230.7</v>
      </c>
      <c r="C1079" s="2">
        <v>876.2</v>
      </c>
      <c r="D1079" s="2">
        <v>2.17</v>
      </c>
      <c r="E1079" s="2">
        <v>0.97</v>
      </c>
      <c r="F1079" s="2">
        <v>50.0</v>
      </c>
      <c r="G1079" s="4">
        <v>44460.89285474537</v>
      </c>
      <c r="H1079" s="8">
        <v>44460.0</v>
      </c>
    </row>
    <row r="1080">
      <c r="A1080" s="2">
        <v>3.9</v>
      </c>
      <c r="B1080" s="2">
        <v>230.7</v>
      </c>
      <c r="C1080" s="2">
        <v>876.2</v>
      </c>
      <c r="D1080" s="2">
        <v>2.17</v>
      </c>
      <c r="E1080" s="2">
        <v>0.97</v>
      </c>
      <c r="F1080" s="2">
        <v>50.0</v>
      </c>
      <c r="G1080" s="4">
        <v>44460.89296376157</v>
      </c>
      <c r="H1080" s="8">
        <v>44460.0</v>
      </c>
    </row>
    <row r="1081">
      <c r="A1081" s="2">
        <v>3.9</v>
      </c>
      <c r="B1081" s="2">
        <v>230.7</v>
      </c>
      <c r="C1081" s="2">
        <v>876.4</v>
      </c>
      <c r="D1081" s="2">
        <v>2.17</v>
      </c>
      <c r="E1081" s="2">
        <v>0.97</v>
      </c>
      <c r="F1081" s="2">
        <v>50.0</v>
      </c>
      <c r="G1081" s="4">
        <v>44460.89306966435</v>
      </c>
      <c r="H1081" s="8">
        <v>44460.0</v>
      </c>
    </row>
    <row r="1082">
      <c r="A1082" s="2">
        <v>3.9</v>
      </c>
      <c r="B1082" s="2">
        <v>230.6</v>
      </c>
      <c r="C1082" s="2">
        <v>876.5</v>
      </c>
      <c r="D1082" s="2">
        <v>2.17</v>
      </c>
      <c r="E1082" s="2">
        <v>0.97</v>
      </c>
      <c r="F1082" s="2">
        <v>49.9</v>
      </c>
      <c r="G1082" s="4">
        <v>44460.89316872685</v>
      </c>
      <c r="H1082" s="8">
        <v>44460.0</v>
      </c>
    </row>
    <row r="1083">
      <c r="A1083" s="2">
        <v>3.9</v>
      </c>
      <c r="B1083" s="2">
        <v>230.8</v>
      </c>
      <c r="C1083" s="2">
        <v>876.7</v>
      </c>
      <c r="D1083" s="2">
        <v>2.18</v>
      </c>
      <c r="E1083" s="2">
        <v>0.97</v>
      </c>
      <c r="F1083" s="2">
        <v>49.9</v>
      </c>
      <c r="G1083" s="4">
        <v>44460.893378796296</v>
      </c>
      <c r="H1083" s="8">
        <v>44460.0</v>
      </c>
    </row>
    <row r="1084">
      <c r="A1084" s="2">
        <v>3.9</v>
      </c>
      <c r="B1084" s="2">
        <v>230.8</v>
      </c>
      <c r="C1084" s="2">
        <v>876.9</v>
      </c>
      <c r="D1084" s="2">
        <v>2.18</v>
      </c>
      <c r="E1084" s="2">
        <v>0.97</v>
      </c>
      <c r="F1084" s="2">
        <v>50.0</v>
      </c>
      <c r="G1084" s="4">
        <v>44460.893482893516</v>
      </c>
      <c r="H1084" s="8">
        <v>44460.0</v>
      </c>
    </row>
    <row r="1085">
      <c r="A1085" s="2">
        <v>3.9</v>
      </c>
      <c r="B1085" s="2">
        <v>230.8</v>
      </c>
      <c r="C1085" s="2">
        <v>877.0</v>
      </c>
      <c r="D1085" s="2">
        <v>2.18</v>
      </c>
      <c r="E1085" s="2">
        <v>0.97</v>
      </c>
      <c r="F1085" s="2">
        <v>49.9</v>
      </c>
      <c r="G1085" s="4">
        <v>44460.89362476852</v>
      </c>
      <c r="H1085" s="8">
        <v>44460.0</v>
      </c>
    </row>
    <row r="1086">
      <c r="A1086" s="2">
        <v>3.9</v>
      </c>
      <c r="B1086" s="2">
        <v>230.7</v>
      </c>
      <c r="C1086" s="2">
        <v>877.1</v>
      </c>
      <c r="D1086" s="2">
        <v>2.19</v>
      </c>
      <c r="E1086" s="2">
        <v>0.97</v>
      </c>
      <c r="F1086" s="2">
        <v>50.0</v>
      </c>
      <c r="G1086" s="4">
        <v>44460.89372940973</v>
      </c>
      <c r="H1086" s="8">
        <v>44460.0</v>
      </c>
    </row>
    <row r="1087">
      <c r="A1087" s="2">
        <v>3.9</v>
      </c>
      <c r="B1087" s="2">
        <v>230.7</v>
      </c>
      <c r="C1087" s="2">
        <v>877.2</v>
      </c>
      <c r="D1087" s="2">
        <v>2.19</v>
      </c>
      <c r="E1087" s="2">
        <v>0.97</v>
      </c>
      <c r="F1087" s="2">
        <v>50.0</v>
      </c>
      <c r="G1087" s="4">
        <v>44460.89383594907</v>
      </c>
      <c r="H1087" s="8">
        <v>44460.0</v>
      </c>
    </row>
    <row r="1088">
      <c r="A1088" s="2">
        <v>3.9</v>
      </c>
      <c r="B1088" s="2">
        <v>230.7</v>
      </c>
      <c r="C1088" s="2">
        <v>877.4</v>
      </c>
      <c r="D1088" s="2">
        <v>2.19</v>
      </c>
      <c r="E1088" s="2">
        <v>0.97</v>
      </c>
      <c r="F1088" s="2">
        <v>50.0</v>
      </c>
      <c r="G1088" s="4">
        <v>44460.89394109954</v>
      </c>
      <c r="H1088" s="8">
        <v>44460.0</v>
      </c>
    </row>
    <row r="1089">
      <c r="A1089" s="2">
        <v>3.9</v>
      </c>
      <c r="B1089" s="2">
        <v>230.8</v>
      </c>
      <c r="C1089" s="2">
        <v>877.5</v>
      </c>
      <c r="D1089" s="2">
        <v>2.19</v>
      </c>
      <c r="E1089" s="2">
        <v>0.97</v>
      </c>
      <c r="F1089" s="2">
        <v>50.0</v>
      </c>
      <c r="G1089" s="4">
        <v>44460.89404375</v>
      </c>
      <c r="H1089" s="8">
        <v>44460.0</v>
      </c>
    </row>
    <row r="1090">
      <c r="A1090" s="2">
        <v>3.9</v>
      </c>
      <c r="B1090" s="2">
        <v>230.8</v>
      </c>
      <c r="C1090" s="2">
        <v>877.6</v>
      </c>
      <c r="D1090" s="2">
        <v>2.19</v>
      </c>
      <c r="E1090" s="2">
        <v>0.97</v>
      </c>
      <c r="F1090" s="2">
        <v>50.0</v>
      </c>
      <c r="G1090" s="4">
        <v>44460.89414467593</v>
      </c>
      <c r="H1090" s="8">
        <v>44460.0</v>
      </c>
    </row>
    <row r="1091">
      <c r="A1091" s="2">
        <v>3.9</v>
      </c>
      <c r="B1091" s="2">
        <v>230.7</v>
      </c>
      <c r="C1091" s="2">
        <v>877.8</v>
      </c>
      <c r="D1091" s="2">
        <v>2.2</v>
      </c>
      <c r="E1091" s="2">
        <v>0.97</v>
      </c>
      <c r="F1091" s="2">
        <v>50.0</v>
      </c>
      <c r="G1091" s="4">
        <v>44460.89425053241</v>
      </c>
      <c r="H1091" s="8">
        <v>44460.0</v>
      </c>
    </row>
    <row r="1092">
      <c r="A1092" s="2">
        <v>3.9</v>
      </c>
      <c r="B1092" s="2">
        <v>230.7</v>
      </c>
      <c r="C1092" s="2">
        <v>877.9</v>
      </c>
      <c r="D1092" s="2">
        <v>2.2</v>
      </c>
      <c r="E1092" s="2">
        <v>0.97</v>
      </c>
      <c r="F1092" s="2">
        <v>50.0</v>
      </c>
      <c r="G1092" s="4">
        <v>44460.894351180556</v>
      </c>
      <c r="H1092" s="8">
        <v>44460.0</v>
      </c>
    </row>
    <row r="1093">
      <c r="A1093" s="2">
        <v>3.91</v>
      </c>
      <c r="B1093" s="2">
        <v>230.6</v>
      </c>
      <c r="C1093" s="2">
        <v>878.1</v>
      </c>
      <c r="D1093" s="2">
        <v>2.2</v>
      </c>
      <c r="E1093" s="2">
        <v>0.97</v>
      </c>
      <c r="F1093" s="2">
        <v>50.0</v>
      </c>
      <c r="G1093" s="4">
        <v>44460.89445313657</v>
      </c>
      <c r="H1093" s="8">
        <v>44460.0</v>
      </c>
    </row>
    <row r="1094">
      <c r="A1094" s="2">
        <v>3.91</v>
      </c>
      <c r="B1094" s="2">
        <v>230.6</v>
      </c>
      <c r="C1094" s="2">
        <v>878.2</v>
      </c>
      <c r="D1094" s="2">
        <v>2.2</v>
      </c>
      <c r="E1094" s="2">
        <v>0.97</v>
      </c>
      <c r="F1094" s="2">
        <v>50.0</v>
      </c>
      <c r="G1094" s="4">
        <v>44460.894571412035</v>
      </c>
      <c r="H1094" s="8">
        <v>44460.0</v>
      </c>
    </row>
    <row r="1095">
      <c r="A1095" s="2">
        <v>3.91</v>
      </c>
      <c r="B1095" s="2">
        <v>230.6</v>
      </c>
      <c r="C1095" s="2">
        <v>878.3</v>
      </c>
      <c r="D1095" s="2">
        <v>2.2</v>
      </c>
      <c r="E1095" s="2">
        <v>0.97</v>
      </c>
      <c r="F1095" s="2">
        <v>49.9</v>
      </c>
      <c r="G1095" s="4">
        <v>44460.89467818287</v>
      </c>
      <c r="H1095" s="8">
        <v>44460.0</v>
      </c>
    </row>
    <row r="1096">
      <c r="A1096" s="2">
        <v>3.91</v>
      </c>
      <c r="B1096" s="2">
        <v>230.7</v>
      </c>
      <c r="C1096" s="2">
        <v>878.4</v>
      </c>
      <c r="D1096" s="2">
        <v>2.21</v>
      </c>
      <c r="E1096" s="2">
        <v>0.97</v>
      </c>
      <c r="F1096" s="2">
        <v>50.0</v>
      </c>
      <c r="G1096" s="4">
        <v>44460.8947811574</v>
      </c>
      <c r="H1096" s="8">
        <v>44460.0</v>
      </c>
    </row>
    <row r="1097">
      <c r="A1097" s="2">
        <v>3.91</v>
      </c>
      <c r="B1097" s="2">
        <v>230.6</v>
      </c>
      <c r="C1097" s="2">
        <v>878.6</v>
      </c>
      <c r="D1097" s="2">
        <v>2.21</v>
      </c>
      <c r="E1097" s="2">
        <v>0.97</v>
      </c>
      <c r="F1097" s="2">
        <v>50.0</v>
      </c>
      <c r="G1097" s="4">
        <v>44460.89488582176</v>
      </c>
      <c r="H1097" s="8">
        <v>44460.0</v>
      </c>
    </row>
    <row r="1098">
      <c r="A1098" s="2">
        <v>3.91</v>
      </c>
      <c r="B1098" s="2">
        <v>230.6</v>
      </c>
      <c r="C1098" s="2">
        <v>878.7</v>
      </c>
      <c r="D1098" s="2">
        <v>2.21</v>
      </c>
      <c r="E1098" s="2">
        <v>0.97</v>
      </c>
      <c r="F1098" s="2">
        <v>50.0</v>
      </c>
      <c r="G1098" s="4">
        <v>44460.89499443287</v>
      </c>
      <c r="H1098" s="8">
        <v>44460.0</v>
      </c>
    </row>
    <row r="1099">
      <c r="A1099" s="2">
        <v>3.91</v>
      </c>
      <c r="B1099" s="2">
        <v>230.6</v>
      </c>
      <c r="C1099" s="2">
        <v>878.8</v>
      </c>
      <c r="D1099" s="2">
        <v>2.21</v>
      </c>
      <c r="E1099" s="2">
        <v>0.97</v>
      </c>
      <c r="F1099" s="2">
        <v>50.0</v>
      </c>
      <c r="G1099" s="4">
        <v>44460.89510252315</v>
      </c>
      <c r="H1099" s="8">
        <v>44460.0</v>
      </c>
    </row>
    <row r="1100">
      <c r="A1100" s="2">
        <v>3.91</v>
      </c>
      <c r="B1100" s="2">
        <v>230.6</v>
      </c>
      <c r="C1100" s="2">
        <v>878.9</v>
      </c>
      <c r="D1100" s="2">
        <v>2.22</v>
      </c>
      <c r="E1100" s="2">
        <v>0.97</v>
      </c>
      <c r="F1100" s="2">
        <v>50.0</v>
      </c>
      <c r="G1100" s="4">
        <v>44460.89520119213</v>
      </c>
      <c r="H1100" s="8">
        <v>44460.0</v>
      </c>
    </row>
    <row r="1101">
      <c r="A1101" s="2">
        <v>3.91</v>
      </c>
      <c r="B1101" s="2">
        <v>230.6</v>
      </c>
      <c r="C1101" s="2">
        <v>879.1</v>
      </c>
      <c r="D1101" s="2">
        <v>2.22</v>
      </c>
      <c r="E1101" s="2">
        <v>0.97</v>
      </c>
      <c r="F1101" s="2">
        <v>50.0</v>
      </c>
      <c r="G1101" s="4">
        <v>44460.895308356485</v>
      </c>
      <c r="H1101" s="8">
        <v>44460.0</v>
      </c>
    </row>
    <row r="1102">
      <c r="A1102" s="2">
        <v>3.91</v>
      </c>
      <c r="B1102" s="2">
        <v>230.6</v>
      </c>
      <c r="C1102" s="2">
        <v>879.1</v>
      </c>
      <c r="D1102" s="2">
        <v>2.22</v>
      </c>
      <c r="E1102" s="2">
        <v>0.97</v>
      </c>
      <c r="F1102" s="2">
        <v>50.0</v>
      </c>
      <c r="G1102" s="4">
        <v>44460.89542037037</v>
      </c>
      <c r="H1102" s="8">
        <v>44460.0</v>
      </c>
    </row>
    <row r="1103">
      <c r="A1103" s="2">
        <v>3.91</v>
      </c>
      <c r="B1103" s="2">
        <v>230.5</v>
      </c>
      <c r="C1103" s="2">
        <v>879.3</v>
      </c>
      <c r="D1103" s="2">
        <v>2.22</v>
      </c>
      <c r="E1103" s="2">
        <v>0.97</v>
      </c>
      <c r="F1103" s="2">
        <v>50.0</v>
      </c>
      <c r="G1103" s="4">
        <v>44460.89552471065</v>
      </c>
      <c r="H1103" s="8">
        <v>44460.0</v>
      </c>
    </row>
    <row r="1104">
      <c r="A1104" s="2">
        <v>3.91</v>
      </c>
      <c r="B1104" s="2">
        <v>230.6</v>
      </c>
      <c r="C1104" s="2">
        <v>879.5</v>
      </c>
      <c r="D1104" s="2">
        <v>2.23</v>
      </c>
      <c r="E1104" s="2">
        <v>0.97</v>
      </c>
      <c r="F1104" s="2">
        <v>50.0</v>
      </c>
      <c r="G1104" s="4">
        <v>44460.89563008102</v>
      </c>
      <c r="H1104" s="8">
        <v>44460.0</v>
      </c>
    </row>
    <row r="1105">
      <c r="A1105" s="2">
        <v>3.91</v>
      </c>
      <c r="B1105" s="2">
        <v>230.7</v>
      </c>
      <c r="C1105" s="2">
        <v>879.6</v>
      </c>
      <c r="D1105" s="2">
        <v>2.23</v>
      </c>
      <c r="E1105" s="2">
        <v>0.97</v>
      </c>
      <c r="F1105" s="2">
        <v>50.0</v>
      </c>
      <c r="G1105" s="4">
        <v>44460.89573065972</v>
      </c>
      <c r="H1105" s="8">
        <v>44460.0</v>
      </c>
    </row>
    <row r="1106">
      <c r="A1106" s="2">
        <v>3.91</v>
      </c>
      <c r="B1106" s="2">
        <v>230.5</v>
      </c>
      <c r="C1106" s="2">
        <v>879.7</v>
      </c>
      <c r="D1106" s="2">
        <v>2.23</v>
      </c>
      <c r="E1106" s="2">
        <v>0.97</v>
      </c>
      <c r="F1106" s="2">
        <v>50.0</v>
      </c>
      <c r="G1106" s="4">
        <v>44460.89583479166</v>
      </c>
      <c r="H1106" s="8">
        <v>44460.0</v>
      </c>
    </row>
    <row r="1107">
      <c r="A1107" s="2">
        <v>3.92</v>
      </c>
      <c r="B1107" s="2">
        <v>230.5</v>
      </c>
      <c r="C1107" s="2">
        <v>879.9</v>
      </c>
      <c r="D1107" s="2">
        <v>2.23</v>
      </c>
      <c r="E1107" s="2">
        <v>0.97</v>
      </c>
      <c r="F1107" s="2">
        <v>50.0</v>
      </c>
      <c r="G1107" s="4">
        <v>44460.895936747685</v>
      </c>
      <c r="H1107" s="8">
        <v>44460.0</v>
      </c>
    </row>
    <row r="1108">
      <c r="A1108" s="2">
        <v>3.92</v>
      </c>
      <c r="B1108" s="2">
        <v>230.4</v>
      </c>
      <c r="C1108" s="2">
        <v>880.1</v>
      </c>
      <c r="D1108" s="2">
        <v>2.23</v>
      </c>
      <c r="E1108" s="2">
        <v>0.97</v>
      </c>
      <c r="F1108" s="2">
        <v>50.0</v>
      </c>
      <c r="G1108" s="4">
        <v>44460.896039432875</v>
      </c>
      <c r="H1108" s="8">
        <v>44460.0</v>
      </c>
    </row>
    <row r="1109">
      <c r="A1109" s="2">
        <v>3.92</v>
      </c>
      <c r="B1109" s="2">
        <v>230.5</v>
      </c>
      <c r="C1109" s="2">
        <v>880.2</v>
      </c>
      <c r="D1109" s="2">
        <v>2.24</v>
      </c>
      <c r="E1109" s="2">
        <v>0.97</v>
      </c>
      <c r="F1109" s="2">
        <v>50.0</v>
      </c>
      <c r="G1109" s="4">
        <v>44460.89614403935</v>
      </c>
      <c r="H1109" s="8">
        <v>44460.0</v>
      </c>
    </row>
    <row r="1110">
      <c r="A1110" s="2">
        <v>3.92</v>
      </c>
      <c r="B1110" s="2">
        <v>230.6</v>
      </c>
      <c r="C1110" s="2">
        <v>880.2</v>
      </c>
      <c r="D1110" s="2">
        <v>2.24</v>
      </c>
      <c r="E1110" s="2">
        <v>0.97</v>
      </c>
      <c r="F1110" s="2">
        <v>50.0</v>
      </c>
      <c r="G1110" s="4">
        <v>44460.896248634264</v>
      </c>
      <c r="H1110" s="8">
        <v>44460.0</v>
      </c>
    </row>
    <row r="1111">
      <c r="A1111" s="2">
        <v>3.92</v>
      </c>
      <c r="B1111" s="2">
        <v>230.5</v>
      </c>
      <c r="C1111" s="2">
        <v>880.4</v>
      </c>
      <c r="D1111" s="2">
        <v>2.24</v>
      </c>
      <c r="E1111" s="2">
        <v>0.97</v>
      </c>
      <c r="F1111" s="2">
        <v>50.0</v>
      </c>
      <c r="G1111" s="4">
        <v>44460.896355590274</v>
      </c>
      <c r="H1111" s="8">
        <v>44460.0</v>
      </c>
    </row>
    <row r="1112">
      <c r="A1112" s="2">
        <v>3.92</v>
      </c>
      <c r="B1112" s="2">
        <v>230.6</v>
      </c>
      <c r="C1112" s="2">
        <v>880.5</v>
      </c>
      <c r="D1112" s="2">
        <v>2.24</v>
      </c>
      <c r="E1112" s="2">
        <v>0.98</v>
      </c>
      <c r="F1112" s="2">
        <v>50.0</v>
      </c>
      <c r="G1112" s="4">
        <v>44460.89645223379</v>
      </c>
      <c r="H1112" s="8">
        <v>44460.0</v>
      </c>
    </row>
    <row r="1113">
      <c r="A1113" s="2">
        <v>3.92</v>
      </c>
      <c r="B1113" s="2">
        <v>230.7</v>
      </c>
      <c r="C1113" s="2">
        <v>880.6</v>
      </c>
      <c r="D1113" s="2">
        <v>2.24</v>
      </c>
      <c r="E1113" s="2">
        <v>0.97</v>
      </c>
      <c r="F1113" s="2">
        <v>50.0</v>
      </c>
      <c r="G1113" s="4">
        <v>44460.89656083334</v>
      </c>
      <c r="H1113" s="8">
        <v>44460.0</v>
      </c>
    </row>
    <row r="1114">
      <c r="A1114" s="2">
        <v>3.92</v>
      </c>
      <c r="B1114" s="2">
        <v>230.8</v>
      </c>
      <c r="C1114" s="2">
        <v>880.8</v>
      </c>
      <c r="D1114" s="2">
        <v>2.25</v>
      </c>
      <c r="E1114" s="2">
        <v>0.97</v>
      </c>
      <c r="F1114" s="2">
        <v>50.0</v>
      </c>
      <c r="G1114" s="4">
        <v>44460.896667430556</v>
      </c>
      <c r="H1114" s="8">
        <v>44460.0</v>
      </c>
    </row>
    <row r="1115">
      <c r="A1115" s="2">
        <v>3.92</v>
      </c>
      <c r="B1115" s="2">
        <v>230.8</v>
      </c>
      <c r="C1115" s="2">
        <v>880.8</v>
      </c>
      <c r="D1115" s="2">
        <v>2.25</v>
      </c>
      <c r="E1115" s="2">
        <v>0.97</v>
      </c>
      <c r="F1115" s="2">
        <v>50.0</v>
      </c>
      <c r="G1115" s="4">
        <v>44460.89676741898</v>
      </c>
      <c r="H1115" s="8">
        <v>44460.0</v>
      </c>
    </row>
    <row r="1116">
      <c r="A1116" s="2">
        <v>3.91</v>
      </c>
      <c r="B1116" s="2">
        <v>230.9</v>
      </c>
      <c r="C1116" s="2">
        <v>881.0</v>
      </c>
      <c r="D1116" s="2">
        <v>2.25</v>
      </c>
      <c r="E1116" s="2">
        <v>0.97</v>
      </c>
      <c r="F1116" s="2">
        <v>50.0</v>
      </c>
      <c r="G1116" s="4">
        <v>44460.89686703704</v>
      </c>
      <c r="H1116" s="8">
        <v>44460.0</v>
      </c>
    </row>
    <row r="1117">
      <c r="A1117" s="2">
        <v>3.91</v>
      </c>
      <c r="B1117" s="2">
        <v>231.0</v>
      </c>
      <c r="C1117" s="2">
        <v>881.0</v>
      </c>
      <c r="D1117" s="2">
        <v>2.25</v>
      </c>
      <c r="E1117" s="2">
        <v>0.97</v>
      </c>
      <c r="F1117" s="2">
        <v>50.0</v>
      </c>
      <c r="G1117" s="4">
        <v>44460.896971863425</v>
      </c>
      <c r="H1117" s="8">
        <v>44460.0</v>
      </c>
    </row>
    <row r="1118">
      <c r="A1118" s="2">
        <v>3.91</v>
      </c>
      <c r="B1118" s="2">
        <v>231.0</v>
      </c>
      <c r="C1118" s="2">
        <v>881.2</v>
      </c>
      <c r="D1118" s="2">
        <v>2.26</v>
      </c>
      <c r="E1118" s="2">
        <v>0.97</v>
      </c>
      <c r="F1118" s="2">
        <v>50.0</v>
      </c>
      <c r="G1118" s="4">
        <v>44460.8970987037</v>
      </c>
      <c r="H1118" s="8">
        <v>44460.0</v>
      </c>
    </row>
    <row r="1119">
      <c r="A1119" s="2">
        <v>3.91</v>
      </c>
      <c r="B1119" s="2">
        <v>231.1</v>
      </c>
      <c r="C1119" s="2">
        <v>881.3</v>
      </c>
      <c r="D1119" s="2">
        <v>2.26</v>
      </c>
      <c r="E1119" s="2">
        <v>0.97</v>
      </c>
      <c r="F1119" s="2">
        <v>50.0</v>
      </c>
      <c r="G1119" s="4">
        <v>44460.897204699075</v>
      </c>
      <c r="H1119" s="8">
        <v>44460.0</v>
      </c>
    </row>
    <row r="1120">
      <c r="A1120" s="2">
        <v>3.92</v>
      </c>
      <c r="B1120" s="2">
        <v>230.9</v>
      </c>
      <c r="C1120" s="2">
        <v>881.4</v>
      </c>
      <c r="D1120" s="2">
        <v>2.26</v>
      </c>
      <c r="E1120" s="2">
        <v>0.97</v>
      </c>
      <c r="F1120" s="2">
        <v>50.0</v>
      </c>
      <c r="G1120" s="4">
        <v>44460.89730787037</v>
      </c>
      <c r="H1120" s="8">
        <v>44460.0</v>
      </c>
    </row>
    <row r="1121">
      <c r="A1121" s="2">
        <v>3.91</v>
      </c>
      <c r="B1121" s="2">
        <v>231.1</v>
      </c>
      <c r="C1121" s="2">
        <v>881.5</v>
      </c>
      <c r="D1121" s="2">
        <v>2.26</v>
      </c>
      <c r="E1121" s="2">
        <v>0.97</v>
      </c>
      <c r="F1121" s="2">
        <v>50.0</v>
      </c>
      <c r="G1121" s="4">
        <v>44460.89741376157</v>
      </c>
      <c r="H1121" s="8">
        <v>44460.0</v>
      </c>
    </row>
    <row r="1122">
      <c r="A1122" s="2">
        <v>3.91</v>
      </c>
      <c r="B1122" s="2">
        <v>231.1</v>
      </c>
      <c r="C1122" s="2">
        <v>881.7</v>
      </c>
      <c r="D1122" s="2">
        <v>2.27</v>
      </c>
      <c r="E1122" s="2">
        <v>0.97</v>
      </c>
      <c r="F1122" s="2">
        <v>50.0</v>
      </c>
      <c r="G1122" s="4">
        <v>44460.89752078704</v>
      </c>
      <c r="H1122" s="8">
        <v>44460.0</v>
      </c>
    </row>
    <row r="1123">
      <c r="A1123" s="2">
        <v>3.92</v>
      </c>
      <c r="B1123" s="2">
        <v>230.9</v>
      </c>
      <c r="C1123" s="2">
        <v>881.9</v>
      </c>
      <c r="D1123" s="2">
        <v>2.27</v>
      </c>
      <c r="E1123" s="2">
        <v>0.97</v>
      </c>
      <c r="F1123" s="2">
        <v>50.0</v>
      </c>
      <c r="G1123" s="4">
        <v>44460.89763056713</v>
      </c>
      <c r="H1123" s="8">
        <v>44460.0</v>
      </c>
    </row>
    <row r="1124">
      <c r="A1124" s="2">
        <v>3.92</v>
      </c>
      <c r="B1124" s="2">
        <v>231.0</v>
      </c>
      <c r="C1124" s="2">
        <v>882.0</v>
      </c>
      <c r="D1124" s="2">
        <v>2.27</v>
      </c>
      <c r="E1124" s="2">
        <v>0.97</v>
      </c>
      <c r="F1124" s="2">
        <v>50.0</v>
      </c>
      <c r="G1124" s="4">
        <v>44460.89774247685</v>
      </c>
      <c r="H1124" s="8">
        <v>44460.0</v>
      </c>
    </row>
    <row r="1125">
      <c r="A1125" s="2">
        <v>3.92</v>
      </c>
      <c r="B1125" s="2">
        <v>231.0</v>
      </c>
      <c r="C1125" s="2">
        <v>882.1</v>
      </c>
      <c r="D1125" s="2">
        <v>2.27</v>
      </c>
      <c r="E1125" s="2">
        <v>0.97</v>
      </c>
      <c r="F1125" s="2">
        <v>50.0</v>
      </c>
      <c r="G1125" s="4">
        <v>44460.89785017361</v>
      </c>
      <c r="H1125" s="8">
        <v>44460.0</v>
      </c>
    </row>
    <row r="1126">
      <c r="A1126" s="2">
        <v>3.92</v>
      </c>
      <c r="B1126" s="2">
        <v>231.0</v>
      </c>
      <c r="C1126" s="2">
        <v>882.2</v>
      </c>
      <c r="D1126" s="2">
        <v>2.28</v>
      </c>
      <c r="E1126" s="2">
        <v>0.97</v>
      </c>
      <c r="F1126" s="2">
        <v>50.0</v>
      </c>
      <c r="G1126" s="4">
        <v>44460.89795486111</v>
      </c>
      <c r="H1126" s="8">
        <v>44460.0</v>
      </c>
    </row>
    <row r="1127">
      <c r="A1127" s="2">
        <v>3.92</v>
      </c>
      <c r="B1127" s="2">
        <v>231.0</v>
      </c>
      <c r="C1127" s="2">
        <v>882.4</v>
      </c>
      <c r="D1127" s="2">
        <v>2.28</v>
      </c>
      <c r="E1127" s="2">
        <v>0.97</v>
      </c>
      <c r="F1127" s="2">
        <v>49.9</v>
      </c>
      <c r="G1127" s="4">
        <v>44460.89806533565</v>
      </c>
      <c r="H1127" s="8">
        <v>44460.0</v>
      </c>
    </row>
    <row r="1128">
      <c r="A1128" s="2">
        <v>3.92</v>
      </c>
      <c r="B1128" s="2">
        <v>231.0</v>
      </c>
      <c r="C1128" s="2">
        <v>882.5</v>
      </c>
      <c r="D1128" s="2">
        <v>2.28</v>
      </c>
      <c r="E1128" s="2">
        <v>0.97</v>
      </c>
      <c r="F1128" s="2">
        <v>50.0</v>
      </c>
      <c r="G1128" s="4">
        <v>44460.898170625005</v>
      </c>
      <c r="H1128" s="8">
        <v>44460.0</v>
      </c>
    </row>
    <row r="1129">
      <c r="A1129" s="2">
        <v>3.92</v>
      </c>
      <c r="B1129" s="2">
        <v>231.0</v>
      </c>
      <c r="C1129" s="2">
        <v>882.6</v>
      </c>
      <c r="D1129" s="2">
        <v>2.28</v>
      </c>
      <c r="E1129" s="2">
        <v>0.97</v>
      </c>
      <c r="F1129" s="2">
        <v>50.0</v>
      </c>
      <c r="G1129" s="4">
        <v>44460.89827643518</v>
      </c>
      <c r="H1129" s="8">
        <v>44460.0</v>
      </c>
    </row>
    <row r="1130">
      <c r="A1130" s="2">
        <v>3.92</v>
      </c>
      <c r="B1130" s="2">
        <v>231.1</v>
      </c>
      <c r="C1130" s="2">
        <v>882.8</v>
      </c>
      <c r="D1130" s="2">
        <v>2.28</v>
      </c>
      <c r="E1130" s="2">
        <v>0.97</v>
      </c>
      <c r="F1130" s="2">
        <v>50.0</v>
      </c>
      <c r="G1130" s="4">
        <v>44460.898376770834</v>
      </c>
      <c r="H1130" s="8">
        <v>44460.0</v>
      </c>
    </row>
    <row r="1131">
      <c r="A1131" s="2">
        <v>3.92</v>
      </c>
      <c r="B1131" s="2">
        <v>231.0</v>
      </c>
      <c r="C1131" s="2">
        <v>882.9</v>
      </c>
      <c r="D1131" s="2">
        <v>2.29</v>
      </c>
      <c r="E1131" s="2">
        <v>0.97</v>
      </c>
      <c r="F1131" s="2">
        <v>50.0</v>
      </c>
      <c r="G1131" s="4">
        <v>44460.898504212964</v>
      </c>
      <c r="H1131" s="8">
        <v>44460.0</v>
      </c>
    </row>
    <row r="1132">
      <c r="A1132" s="2">
        <v>3.92</v>
      </c>
      <c r="B1132" s="2">
        <v>231.0</v>
      </c>
      <c r="C1132" s="2">
        <v>883.0</v>
      </c>
      <c r="D1132" s="2">
        <v>2.29</v>
      </c>
      <c r="E1132" s="2">
        <v>0.97</v>
      </c>
      <c r="F1132" s="2">
        <v>50.0</v>
      </c>
      <c r="G1132" s="4">
        <v>44460.898606828705</v>
      </c>
      <c r="H1132" s="8">
        <v>44460.0</v>
      </c>
    </row>
    <row r="1133">
      <c r="A1133" s="2">
        <v>3.92</v>
      </c>
      <c r="B1133" s="2">
        <v>231.1</v>
      </c>
      <c r="C1133" s="2">
        <v>883.1</v>
      </c>
      <c r="D1133" s="2">
        <v>2.29</v>
      </c>
      <c r="E1133" s="2">
        <v>0.97</v>
      </c>
      <c r="F1133" s="2">
        <v>50.0</v>
      </c>
      <c r="G1133" s="4">
        <v>44460.89871471065</v>
      </c>
      <c r="H1133" s="8">
        <v>44460.0</v>
      </c>
    </row>
    <row r="1134">
      <c r="A1134" s="2">
        <v>3.92</v>
      </c>
      <c r="B1134" s="2">
        <v>231.2</v>
      </c>
      <c r="C1134" s="2">
        <v>883.3</v>
      </c>
      <c r="D1134" s="2">
        <v>2.29</v>
      </c>
      <c r="E1134" s="2">
        <v>0.97</v>
      </c>
      <c r="F1134" s="2">
        <v>50.0</v>
      </c>
      <c r="G1134" s="4">
        <v>44460.898823958334</v>
      </c>
      <c r="H1134" s="8">
        <v>44460.0</v>
      </c>
    </row>
    <row r="1135">
      <c r="A1135" s="2">
        <v>3.92</v>
      </c>
      <c r="B1135" s="2">
        <v>230.9</v>
      </c>
      <c r="C1135" s="2">
        <v>883.5</v>
      </c>
      <c r="D1135" s="2">
        <v>2.3</v>
      </c>
      <c r="E1135" s="2">
        <v>0.97</v>
      </c>
      <c r="F1135" s="2">
        <v>50.0</v>
      </c>
      <c r="G1135" s="4">
        <v>44460.8989306713</v>
      </c>
      <c r="H1135" s="8">
        <v>44460.0</v>
      </c>
    </row>
    <row r="1136">
      <c r="A1136" s="2">
        <v>3.93</v>
      </c>
      <c r="B1136" s="2">
        <v>231.0</v>
      </c>
      <c r="C1136" s="2">
        <v>883.6</v>
      </c>
      <c r="D1136" s="2">
        <v>2.3</v>
      </c>
      <c r="E1136" s="2">
        <v>0.97</v>
      </c>
      <c r="F1136" s="2">
        <v>50.0</v>
      </c>
      <c r="G1136" s="4">
        <v>44460.89903858796</v>
      </c>
      <c r="H1136" s="8">
        <v>44460.0</v>
      </c>
    </row>
    <row r="1137">
      <c r="A1137" s="2">
        <v>3.93</v>
      </c>
      <c r="B1137" s="2">
        <v>230.8</v>
      </c>
      <c r="C1137" s="2">
        <v>883.8</v>
      </c>
      <c r="D1137" s="2">
        <v>2.3</v>
      </c>
      <c r="E1137" s="2">
        <v>0.97</v>
      </c>
      <c r="F1137" s="2">
        <v>50.0</v>
      </c>
      <c r="G1137" s="4">
        <v>44460.8991419213</v>
      </c>
      <c r="H1137" s="8">
        <v>44460.0</v>
      </c>
    </row>
    <row r="1138">
      <c r="A1138" s="2">
        <v>3.93</v>
      </c>
      <c r="B1138" s="2">
        <v>231.0</v>
      </c>
      <c r="C1138" s="2">
        <v>883.8</v>
      </c>
      <c r="D1138" s="2">
        <v>2.3</v>
      </c>
      <c r="E1138" s="2">
        <v>0.97</v>
      </c>
      <c r="F1138" s="2">
        <v>50.0</v>
      </c>
      <c r="G1138" s="4">
        <v>44460.89924803241</v>
      </c>
      <c r="H1138" s="8">
        <v>44460.0</v>
      </c>
    </row>
    <row r="1139">
      <c r="A1139" s="2">
        <v>3.93</v>
      </c>
      <c r="B1139" s="2">
        <v>230.9</v>
      </c>
      <c r="C1139" s="2">
        <v>884.0</v>
      </c>
      <c r="D1139" s="2">
        <v>2.31</v>
      </c>
      <c r="E1139" s="2">
        <v>0.97</v>
      </c>
      <c r="F1139" s="2">
        <v>50.0</v>
      </c>
      <c r="G1139" s="4">
        <v>44460.89935987268</v>
      </c>
      <c r="H1139" s="8">
        <v>44460.0</v>
      </c>
    </row>
    <row r="1140">
      <c r="A1140" s="2">
        <v>3.93</v>
      </c>
      <c r="B1140" s="2">
        <v>231.0</v>
      </c>
      <c r="C1140" s="2">
        <v>884.1</v>
      </c>
      <c r="D1140" s="2">
        <v>2.31</v>
      </c>
      <c r="E1140" s="2">
        <v>0.97</v>
      </c>
      <c r="F1140" s="2">
        <v>50.0</v>
      </c>
      <c r="G1140" s="4">
        <v>44460.899469525466</v>
      </c>
      <c r="H1140" s="8">
        <v>44460.0</v>
      </c>
    </row>
    <row r="1141">
      <c r="A1141" s="2">
        <v>3.93</v>
      </c>
      <c r="B1141" s="2">
        <v>231.1</v>
      </c>
      <c r="C1141" s="2">
        <v>884.2</v>
      </c>
      <c r="D1141" s="2">
        <v>2.31</v>
      </c>
      <c r="E1141" s="2">
        <v>0.97</v>
      </c>
      <c r="F1141" s="2">
        <v>50.0</v>
      </c>
      <c r="G1141" s="4">
        <v>44460.89957634259</v>
      </c>
      <c r="H1141" s="8">
        <v>44460.0</v>
      </c>
    </row>
    <row r="1142">
      <c r="A1142" s="2">
        <v>3.93</v>
      </c>
      <c r="B1142" s="2">
        <v>231.0</v>
      </c>
      <c r="C1142" s="2">
        <v>884.4</v>
      </c>
      <c r="D1142" s="2">
        <v>2.31</v>
      </c>
      <c r="E1142" s="2">
        <v>0.97</v>
      </c>
      <c r="F1142" s="2">
        <v>49.9</v>
      </c>
      <c r="G1142" s="4">
        <v>44460.899681574076</v>
      </c>
      <c r="H1142" s="8">
        <v>44460.0</v>
      </c>
    </row>
    <row r="1143">
      <c r="A1143" s="2">
        <v>3.93</v>
      </c>
      <c r="B1143" s="2">
        <v>231.0</v>
      </c>
      <c r="C1143" s="2">
        <v>884.5</v>
      </c>
      <c r="D1143" s="2">
        <v>2.31</v>
      </c>
      <c r="E1143" s="2">
        <v>0.97</v>
      </c>
      <c r="F1143" s="2">
        <v>50.0</v>
      </c>
      <c r="G1143" s="4">
        <v>44460.89978628472</v>
      </c>
      <c r="H1143" s="8">
        <v>44460.0</v>
      </c>
    </row>
    <row r="1144">
      <c r="A1144" s="2">
        <v>3.93</v>
      </c>
      <c r="B1144" s="2">
        <v>231.1</v>
      </c>
      <c r="C1144" s="2">
        <v>884.6</v>
      </c>
      <c r="D1144" s="2">
        <v>2.32</v>
      </c>
      <c r="E1144" s="2">
        <v>0.97</v>
      </c>
      <c r="F1144" s="2">
        <v>50.0</v>
      </c>
      <c r="G1144" s="4">
        <v>44460.899886597224</v>
      </c>
      <c r="H1144" s="8">
        <v>44460.0</v>
      </c>
    </row>
    <row r="1145">
      <c r="A1145" s="2">
        <v>3.93</v>
      </c>
      <c r="B1145" s="2">
        <v>231.1</v>
      </c>
      <c r="C1145" s="2">
        <v>884.8</v>
      </c>
      <c r="D1145" s="2">
        <v>2.32</v>
      </c>
      <c r="E1145" s="2">
        <v>0.97</v>
      </c>
      <c r="F1145" s="2">
        <v>50.0</v>
      </c>
      <c r="G1145" s="4">
        <v>44460.899990694445</v>
      </c>
      <c r="H1145" s="8">
        <v>44460.0</v>
      </c>
    </row>
    <row r="1146">
      <c r="A1146" s="2">
        <v>3.93</v>
      </c>
      <c r="B1146" s="2">
        <v>231.1</v>
      </c>
      <c r="C1146" s="2">
        <v>884.9</v>
      </c>
      <c r="D1146" s="2">
        <v>2.32</v>
      </c>
      <c r="E1146" s="2">
        <v>0.97</v>
      </c>
      <c r="F1146" s="2">
        <v>50.0</v>
      </c>
      <c r="G1146" s="4">
        <v>44460.900104189815</v>
      </c>
      <c r="H1146" s="8">
        <v>44460.0</v>
      </c>
    </row>
    <row r="1147">
      <c r="A1147" s="2">
        <v>3.93</v>
      </c>
      <c r="B1147" s="2">
        <v>231.1</v>
      </c>
      <c r="C1147" s="2">
        <v>885.0</v>
      </c>
      <c r="D1147" s="2">
        <v>2.32</v>
      </c>
      <c r="E1147" s="2">
        <v>0.97</v>
      </c>
      <c r="F1147" s="2">
        <v>50.0</v>
      </c>
      <c r="G1147" s="4">
        <v>44460.90020631945</v>
      </c>
      <c r="H1147" s="8">
        <v>44460.0</v>
      </c>
    </row>
    <row r="1148">
      <c r="A1148" s="2">
        <v>3.93</v>
      </c>
      <c r="B1148" s="2">
        <v>231.1</v>
      </c>
      <c r="C1148" s="2">
        <v>885.1</v>
      </c>
      <c r="D1148" s="2">
        <v>2.33</v>
      </c>
      <c r="E1148" s="2">
        <v>0.97</v>
      </c>
      <c r="F1148" s="2">
        <v>50.0</v>
      </c>
      <c r="G1148" s="4">
        <v>44460.90031237269</v>
      </c>
      <c r="H1148" s="8">
        <v>44460.0</v>
      </c>
    </row>
    <row r="1149">
      <c r="A1149" s="2">
        <v>3.93</v>
      </c>
      <c r="B1149" s="2">
        <v>231.1</v>
      </c>
      <c r="C1149" s="2">
        <v>885.3</v>
      </c>
      <c r="D1149" s="2">
        <v>2.33</v>
      </c>
      <c r="E1149" s="2">
        <v>0.97</v>
      </c>
      <c r="F1149" s="2">
        <v>50.0</v>
      </c>
      <c r="G1149" s="4">
        <v>44460.90041459491</v>
      </c>
      <c r="H1149" s="8">
        <v>44460.0</v>
      </c>
    </row>
    <row r="1150">
      <c r="A1150" s="2">
        <v>3.93</v>
      </c>
      <c r="B1150" s="2">
        <v>230.9</v>
      </c>
      <c r="C1150" s="2">
        <v>885.5</v>
      </c>
      <c r="D1150" s="2">
        <v>2.33</v>
      </c>
      <c r="E1150" s="2">
        <v>0.97</v>
      </c>
      <c r="F1150" s="2">
        <v>50.0</v>
      </c>
      <c r="G1150" s="4">
        <v>44460.90051774305</v>
      </c>
      <c r="H1150" s="8">
        <v>44460.0</v>
      </c>
    </row>
    <row r="1151">
      <c r="A1151" s="2">
        <v>3.94</v>
      </c>
      <c r="B1151" s="2">
        <v>230.9</v>
      </c>
      <c r="C1151" s="2">
        <v>885.6</v>
      </c>
      <c r="D1151" s="2">
        <v>2.33</v>
      </c>
      <c r="E1151" s="2">
        <v>0.97</v>
      </c>
      <c r="F1151" s="2">
        <v>50.0</v>
      </c>
      <c r="G1151" s="4">
        <v>44460.90062189815</v>
      </c>
      <c r="H1151" s="8">
        <v>44460.0</v>
      </c>
    </row>
    <row r="1152">
      <c r="A1152" s="2">
        <v>3.94</v>
      </c>
      <c r="B1152" s="2">
        <v>230.9</v>
      </c>
      <c r="C1152" s="2">
        <v>885.7</v>
      </c>
      <c r="D1152" s="2">
        <v>2.33</v>
      </c>
      <c r="E1152" s="2">
        <v>0.97</v>
      </c>
      <c r="F1152" s="2">
        <v>50.0</v>
      </c>
      <c r="G1152" s="4">
        <v>44460.90072837963</v>
      </c>
      <c r="H1152" s="8">
        <v>44460.0</v>
      </c>
    </row>
    <row r="1153">
      <c r="A1153" s="2">
        <v>3.94</v>
      </c>
      <c r="B1153" s="2">
        <v>230.9</v>
      </c>
      <c r="C1153" s="2">
        <v>885.8</v>
      </c>
      <c r="D1153" s="2">
        <v>2.34</v>
      </c>
      <c r="E1153" s="2">
        <v>0.97</v>
      </c>
      <c r="F1153" s="2">
        <v>50.0</v>
      </c>
      <c r="G1153" s="4">
        <v>44460.90083155093</v>
      </c>
      <c r="H1153" s="8">
        <v>44460.0</v>
      </c>
    </row>
    <row r="1154">
      <c r="A1154" s="2">
        <v>3.94</v>
      </c>
      <c r="B1154" s="2">
        <v>230.8</v>
      </c>
      <c r="C1154" s="2">
        <v>886.0</v>
      </c>
      <c r="D1154" s="2">
        <v>2.34</v>
      </c>
      <c r="E1154" s="2">
        <v>0.97</v>
      </c>
      <c r="F1154" s="2">
        <v>50.0</v>
      </c>
      <c r="G1154" s="4">
        <v>44460.900936087965</v>
      </c>
      <c r="H1154" s="8">
        <v>44460.0</v>
      </c>
    </row>
    <row r="1155">
      <c r="A1155" s="2">
        <v>3.94</v>
      </c>
      <c r="B1155" s="2">
        <v>230.8</v>
      </c>
      <c r="C1155" s="2">
        <v>886.2</v>
      </c>
      <c r="D1155" s="2">
        <v>2.34</v>
      </c>
      <c r="E1155" s="2">
        <v>0.97</v>
      </c>
      <c r="F1155" s="2">
        <v>50.0</v>
      </c>
      <c r="G1155" s="4">
        <v>44460.90106549769</v>
      </c>
      <c r="H1155" s="8">
        <v>44460.0</v>
      </c>
    </row>
    <row r="1156">
      <c r="A1156" s="2">
        <v>3.94</v>
      </c>
      <c r="B1156" s="2">
        <v>230.8</v>
      </c>
      <c r="C1156" s="2">
        <v>886.3</v>
      </c>
      <c r="D1156" s="2">
        <v>2.34</v>
      </c>
      <c r="E1156" s="2">
        <v>0.97</v>
      </c>
      <c r="F1156" s="2">
        <v>50.0</v>
      </c>
      <c r="G1156" s="4">
        <v>44460.90116386574</v>
      </c>
      <c r="H1156" s="8">
        <v>44460.0</v>
      </c>
    </row>
    <row r="1157">
      <c r="A1157" s="2">
        <v>3.94</v>
      </c>
      <c r="B1157" s="2">
        <v>230.8</v>
      </c>
      <c r="C1157" s="2">
        <v>886.4</v>
      </c>
      <c r="D1157" s="2">
        <v>2.35</v>
      </c>
      <c r="E1157" s="2">
        <v>0.97</v>
      </c>
      <c r="F1157" s="2">
        <v>50.0</v>
      </c>
      <c r="G1157" s="4">
        <v>44460.90126153935</v>
      </c>
      <c r="H1157" s="8">
        <v>44460.0</v>
      </c>
    </row>
    <row r="1158">
      <c r="A1158" s="2">
        <v>3.94</v>
      </c>
      <c r="B1158" s="2">
        <v>230.8</v>
      </c>
      <c r="C1158" s="2">
        <v>886.6</v>
      </c>
      <c r="D1158" s="2">
        <v>2.35</v>
      </c>
      <c r="E1158" s="2">
        <v>0.97</v>
      </c>
      <c r="F1158" s="2">
        <v>50.0</v>
      </c>
      <c r="G1158" s="4">
        <v>44460.90136077546</v>
      </c>
      <c r="H1158" s="8">
        <v>44460.0</v>
      </c>
    </row>
    <row r="1159">
      <c r="A1159" s="2">
        <v>3.94</v>
      </c>
      <c r="B1159" s="2">
        <v>230.7</v>
      </c>
      <c r="C1159" s="2">
        <v>886.7</v>
      </c>
      <c r="D1159" s="2">
        <v>2.35</v>
      </c>
      <c r="E1159" s="2">
        <v>0.97</v>
      </c>
      <c r="F1159" s="2">
        <v>50.0</v>
      </c>
      <c r="G1159" s="4">
        <v>44460.90146819444</v>
      </c>
      <c r="H1159" s="8">
        <v>44460.0</v>
      </c>
    </row>
    <row r="1160">
      <c r="A1160" s="2">
        <v>3.94</v>
      </c>
      <c r="B1160" s="2">
        <v>230.7</v>
      </c>
      <c r="C1160" s="2">
        <v>886.9</v>
      </c>
      <c r="D1160" s="2">
        <v>2.35</v>
      </c>
      <c r="E1160" s="2">
        <v>0.97</v>
      </c>
      <c r="F1160" s="2">
        <v>50.0</v>
      </c>
      <c r="G1160" s="4">
        <v>44460.90157478009</v>
      </c>
      <c r="H1160" s="8">
        <v>44460.0</v>
      </c>
    </row>
    <row r="1161">
      <c r="A1161" s="2">
        <v>3.95</v>
      </c>
      <c r="B1161" s="2">
        <v>230.6</v>
      </c>
      <c r="C1161" s="2">
        <v>887.0</v>
      </c>
      <c r="D1161" s="2">
        <v>2.35</v>
      </c>
      <c r="E1161" s="2">
        <v>0.97</v>
      </c>
      <c r="F1161" s="2">
        <v>50.0</v>
      </c>
      <c r="G1161" s="4">
        <v>44460.901683125005</v>
      </c>
      <c r="H1161" s="8">
        <v>44460.0</v>
      </c>
    </row>
    <row r="1162">
      <c r="A1162" s="2">
        <v>3.95</v>
      </c>
      <c r="B1162" s="2">
        <v>230.6</v>
      </c>
      <c r="C1162" s="2">
        <v>887.2</v>
      </c>
      <c r="D1162" s="2">
        <v>2.36</v>
      </c>
      <c r="E1162" s="2">
        <v>0.97</v>
      </c>
      <c r="F1162" s="2">
        <v>50.0</v>
      </c>
      <c r="G1162" s="4">
        <v>44460.90178377315</v>
      </c>
      <c r="H1162" s="8">
        <v>44460.0</v>
      </c>
    </row>
    <row r="1163">
      <c r="A1163" s="2">
        <v>3.95</v>
      </c>
      <c r="B1163" s="2">
        <v>230.5</v>
      </c>
      <c r="C1163" s="2">
        <v>887.3</v>
      </c>
      <c r="D1163" s="2">
        <v>2.36</v>
      </c>
      <c r="E1163" s="2">
        <v>0.97</v>
      </c>
      <c r="F1163" s="2">
        <v>50.0</v>
      </c>
      <c r="G1163" s="4">
        <v>44460.901883576385</v>
      </c>
      <c r="H1163" s="8">
        <v>44460.0</v>
      </c>
    </row>
    <row r="1164">
      <c r="A1164" s="2">
        <v>3.95</v>
      </c>
      <c r="B1164" s="2">
        <v>230.6</v>
      </c>
      <c r="C1164" s="2">
        <v>887.4</v>
      </c>
      <c r="D1164" s="2">
        <v>2.36</v>
      </c>
      <c r="E1164" s="2">
        <v>0.97</v>
      </c>
      <c r="F1164" s="2">
        <v>50.0</v>
      </c>
      <c r="G1164" s="4">
        <v>44460.9019871875</v>
      </c>
      <c r="H1164" s="8">
        <v>44460.0</v>
      </c>
    </row>
    <row r="1165">
      <c r="A1165" s="2">
        <v>3.95</v>
      </c>
      <c r="B1165" s="2">
        <v>230.6</v>
      </c>
      <c r="C1165" s="2">
        <v>887.5</v>
      </c>
      <c r="D1165" s="2">
        <v>2.36</v>
      </c>
      <c r="E1165" s="2">
        <v>0.97</v>
      </c>
      <c r="F1165" s="2">
        <v>50.0</v>
      </c>
      <c r="G1165" s="4">
        <v>44460.90208453704</v>
      </c>
      <c r="H1165" s="8">
        <v>44460.0</v>
      </c>
    </row>
    <row r="1166">
      <c r="A1166" s="2">
        <v>3.95</v>
      </c>
      <c r="B1166" s="2">
        <v>230.7</v>
      </c>
      <c r="C1166" s="2">
        <v>887.6</v>
      </c>
      <c r="D1166" s="2">
        <v>2.37</v>
      </c>
      <c r="E1166" s="2">
        <v>0.97</v>
      </c>
      <c r="F1166" s="2">
        <v>50.0</v>
      </c>
      <c r="G1166" s="4">
        <v>44460.90218859953</v>
      </c>
      <c r="H1166" s="8">
        <v>44460.0</v>
      </c>
    </row>
    <row r="1167">
      <c r="A1167" s="2">
        <v>3.95</v>
      </c>
      <c r="B1167" s="2">
        <v>230.6</v>
      </c>
      <c r="C1167" s="2">
        <v>887.7</v>
      </c>
      <c r="D1167" s="2">
        <v>2.37</v>
      </c>
      <c r="E1167" s="2">
        <v>0.97</v>
      </c>
      <c r="F1167" s="2">
        <v>50.0</v>
      </c>
      <c r="G1167" s="4">
        <v>44460.90229270833</v>
      </c>
      <c r="H1167" s="8">
        <v>44460.0</v>
      </c>
    </row>
    <row r="1168">
      <c r="A1168" s="2">
        <v>3.95</v>
      </c>
      <c r="B1168" s="2">
        <v>230.7</v>
      </c>
      <c r="C1168" s="2">
        <v>887.8</v>
      </c>
      <c r="D1168" s="2">
        <v>2.37</v>
      </c>
      <c r="E1168" s="2">
        <v>0.97</v>
      </c>
      <c r="F1168" s="2">
        <v>50.0</v>
      </c>
      <c r="G1168" s="4">
        <v>44460.90239304398</v>
      </c>
      <c r="H1168" s="8">
        <v>44460.0</v>
      </c>
    </row>
    <row r="1169">
      <c r="A1169" s="2">
        <v>3.95</v>
      </c>
      <c r="B1169" s="2">
        <v>230.8</v>
      </c>
      <c r="C1169" s="2">
        <v>888.0</v>
      </c>
      <c r="D1169" s="2">
        <v>2.37</v>
      </c>
      <c r="E1169" s="2">
        <v>0.97</v>
      </c>
      <c r="F1169" s="2">
        <v>50.0</v>
      </c>
      <c r="G1169" s="4">
        <v>44460.90249096065</v>
      </c>
      <c r="H1169" s="8">
        <v>44460.0</v>
      </c>
    </row>
    <row r="1170">
      <c r="A1170" s="2">
        <v>3.95</v>
      </c>
      <c r="B1170" s="2">
        <v>230.8</v>
      </c>
      <c r="C1170" s="2">
        <v>888.1</v>
      </c>
      <c r="D1170" s="2">
        <v>2.37</v>
      </c>
      <c r="E1170" s="2">
        <v>0.97</v>
      </c>
      <c r="F1170" s="2">
        <v>50.0</v>
      </c>
      <c r="G1170" s="4">
        <v>44460.9025930787</v>
      </c>
      <c r="H1170" s="8">
        <v>44460.0</v>
      </c>
    </row>
    <row r="1171">
      <c r="A1171" s="2">
        <v>3.95</v>
      </c>
      <c r="B1171" s="2">
        <v>230.8</v>
      </c>
      <c r="C1171" s="2">
        <v>888.3</v>
      </c>
      <c r="D1171" s="2">
        <v>2.38</v>
      </c>
      <c r="E1171" s="2">
        <v>0.97</v>
      </c>
      <c r="F1171" s="2">
        <v>50.0</v>
      </c>
      <c r="G1171" s="4">
        <v>44460.902697048616</v>
      </c>
      <c r="H1171" s="8">
        <v>44460.0</v>
      </c>
    </row>
    <row r="1172">
      <c r="A1172" s="2">
        <v>3.95</v>
      </c>
      <c r="B1172" s="2">
        <v>230.7</v>
      </c>
      <c r="C1172" s="2">
        <v>888.4</v>
      </c>
      <c r="D1172" s="2">
        <v>2.38</v>
      </c>
      <c r="E1172" s="2">
        <v>0.97</v>
      </c>
      <c r="F1172" s="2">
        <v>50.0</v>
      </c>
      <c r="G1172" s="4">
        <v>44460.90279744213</v>
      </c>
      <c r="H1172" s="8">
        <v>44460.0</v>
      </c>
    </row>
    <row r="1173">
      <c r="A1173" s="2">
        <v>3.95</v>
      </c>
      <c r="B1173" s="2">
        <v>230.7</v>
      </c>
      <c r="C1173" s="2">
        <v>888.5</v>
      </c>
      <c r="D1173" s="2">
        <v>2.38</v>
      </c>
      <c r="E1173" s="2">
        <v>0.97</v>
      </c>
      <c r="F1173" s="2">
        <v>50.0</v>
      </c>
      <c r="G1173" s="4">
        <v>44460.902895</v>
      </c>
      <c r="H1173" s="8">
        <v>44460.0</v>
      </c>
    </row>
    <row r="1174">
      <c r="A1174" s="2">
        <v>3.95</v>
      </c>
      <c r="B1174" s="2">
        <v>230.6</v>
      </c>
      <c r="C1174" s="2">
        <v>888.7</v>
      </c>
      <c r="D1174" s="2">
        <v>2.38</v>
      </c>
      <c r="E1174" s="2">
        <v>0.97</v>
      </c>
      <c r="F1174" s="2">
        <v>49.9</v>
      </c>
      <c r="G1174" s="4">
        <v>44460.902995937504</v>
      </c>
      <c r="H1174" s="8">
        <v>44460.0</v>
      </c>
    </row>
    <row r="1175">
      <c r="A1175" s="2">
        <v>3.95</v>
      </c>
      <c r="B1175" s="2">
        <v>230.6</v>
      </c>
      <c r="C1175" s="2">
        <v>888.8</v>
      </c>
      <c r="D1175" s="2">
        <v>2.38</v>
      </c>
      <c r="E1175" s="2">
        <v>0.97</v>
      </c>
      <c r="F1175" s="2">
        <v>49.9</v>
      </c>
      <c r="G1175" s="4">
        <v>44460.90309482639</v>
      </c>
      <c r="H1175" s="8">
        <v>44460.0</v>
      </c>
    </row>
    <row r="1176">
      <c r="A1176" s="2">
        <v>3.95</v>
      </c>
      <c r="B1176" s="2">
        <v>230.6</v>
      </c>
      <c r="C1176" s="2">
        <v>888.9</v>
      </c>
      <c r="D1176" s="2">
        <v>2.39</v>
      </c>
      <c r="E1176" s="2">
        <v>0.97</v>
      </c>
      <c r="F1176" s="2">
        <v>49.9</v>
      </c>
      <c r="G1176" s="4">
        <v>44460.9031908912</v>
      </c>
      <c r="H1176" s="8">
        <v>44460.0</v>
      </c>
    </row>
    <row r="1177">
      <c r="A1177" s="2">
        <v>3.96</v>
      </c>
      <c r="B1177" s="2">
        <v>230.6</v>
      </c>
      <c r="C1177" s="2">
        <v>889.0</v>
      </c>
      <c r="D1177" s="2">
        <v>2.39</v>
      </c>
      <c r="E1177" s="2">
        <v>0.97</v>
      </c>
      <c r="F1177" s="2">
        <v>49.9</v>
      </c>
      <c r="G1177" s="4">
        <v>44460.903287719906</v>
      </c>
      <c r="H1177" s="8">
        <v>44460.0</v>
      </c>
    </row>
    <row r="1178">
      <c r="A1178" s="2">
        <v>3.96</v>
      </c>
      <c r="B1178" s="2">
        <v>230.6</v>
      </c>
      <c r="C1178" s="2">
        <v>889.2</v>
      </c>
      <c r="D1178" s="2">
        <v>2.39</v>
      </c>
      <c r="E1178" s="2">
        <v>0.97</v>
      </c>
      <c r="F1178" s="2">
        <v>49.9</v>
      </c>
      <c r="G1178" s="4">
        <v>44460.90338336806</v>
      </c>
      <c r="H1178" s="8">
        <v>44460.0</v>
      </c>
    </row>
    <row r="1179">
      <c r="A1179" s="2">
        <v>3.96</v>
      </c>
      <c r="B1179" s="2">
        <v>230.6</v>
      </c>
      <c r="C1179" s="2">
        <v>889.3</v>
      </c>
      <c r="D1179" s="2">
        <v>2.39</v>
      </c>
      <c r="E1179" s="2">
        <v>0.97</v>
      </c>
      <c r="F1179" s="2">
        <v>49.9</v>
      </c>
      <c r="G1179" s="4">
        <v>44460.90348025463</v>
      </c>
      <c r="H1179" s="8">
        <v>44460.0</v>
      </c>
    </row>
    <row r="1180">
      <c r="A1180" s="2">
        <v>3.95</v>
      </c>
      <c r="B1180" s="2">
        <v>230.8</v>
      </c>
      <c r="C1180" s="2">
        <v>889.4</v>
      </c>
      <c r="D1180" s="2">
        <v>2.39</v>
      </c>
      <c r="E1180" s="2">
        <v>0.97</v>
      </c>
      <c r="F1180" s="2">
        <v>50.0</v>
      </c>
      <c r="G1180" s="4">
        <v>44460.903581805556</v>
      </c>
      <c r="H1180" s="8">
        <v>44460.0</v>
      </c>
    </row>
    <row r="1181">
      <c r="A1181" s="2">
        <v>3.95</v>
      </c>
      <c r="B1181" s="2">
        <v>230.9</v>
      </c>
      <c r="C1181" s="2">
        <v>889.6</v>
      </c>
      <c r="D1181" s="2">
        <v>2.4</v>
      </c>
      <c r="E1181" s="2">
        <v>0.97</v>
      </c>
      <c r="F1181" s="2">
        <v>50.0</v>
      </c>
      <c r="G1181" s="4">
        <v>44460.90368643518</v>
      </c>
      <c r="H1181" s="8">
        <v>44460.0</v>
      </c>
    </row>
    <row r="1182">
      <c r="A1182" s="2">
        <v>3.95</v>
      </c>
      <c r="B1182" s="2">
        <v>230.9</v>
      </c>
      <c r="C1182" s="2">
        <v>889.7</v>
      </c>
      <c r="D1182" s="2">
        <v>2.4</v>
      </c>
      <c r="E1182" s="2">
        <v>0.97</v>
      </c>
      <c r="F1182" s="2">
        <v>50.0</v>
      </c>
      <c r="G1182" s="4">
        <v>44460.90378291666</v>
      </c>
      <c r="H1182" s="8">
        <v>44460.0</v>
      </c>
    </row>
    <row r="1183">
      <c r="A1183" s="2">
        <v>3.95</v>
      </c>
      <c r="B1183" s="2">
        <v>231.0</v>
      </c>
      <c r="C1183" s="2">
        <v>889.9</v>
      </c>
      <c r="D1183" s="2">
        <v>2.4</v>
      </c>
      <c r="E1183" s="2">
        <v>0.97</v>
      </c>
      <c r="F1183" s="2">
        <v>50.0</v>
      </c>
      <c r="G1183" s="4">
        <v>44460.90388513889</v>
      </c>
      <c r="H1183" s="8">
        <v>44460.0</v>
      </c>
    </row>
    <row r="1184">
      <c r="A1184" s="2">
        <v>3.95</v>
      </c>
      <c r="B1184" s="2">
        <v>230.9</v>
      </c>
      <c r="C1184" s="2">
        <v>890.0</v>
      </c>
      <c r="D1184" s="2">
        <v>2.4</v>
      </c>
      <c r="E1184" s="2">
        <v>0.98</v>
      </c>
      <c r="F1184" s="2">
        <v>50.0</v>
      </c>
      <c r="G1184" s="4">
        <v>44460.903989224535</v>
      </c>
      <c r="H1184" s="8">
        <v>44460.0</v>
      </c>
    </row>
    <row r="1185">
      <c r="A1185" s="2">
        <v>3.95</v>
      </c>
      <c r="B1185" s="2">
        <v>231.1</v>
      </c>
      <c r="C1185" s="2">
        <v>890.1</v>
      </c>
      <c r="D1185" s="2">
        <v>2.4</v>
      </c>
      <c r="E1185" s="2">
        <v>0.97</v>
      </c>
      <c r="F1185" s="2">
        <v>50.0</v>
      </c>
      <c r="G1185" s="4">
        <v>44460.904090729164</v>
      </c>
      <c r="H1185" s="8">
        <v>44460.0</v>
      </c>
    </row>
    <row r="1186">
      <c r="A1186" s="2">
        <v>3.95</v>
      </c>
      <c r="B1186" s="2">
        <v>231.1</v>
      </c>
      <c r="C1186" s="2">
        <v>890.3</v>
      </c>
      <c r="D1186" s="2">
        <v>2.41</v>
      </c>
      <c r="E1186" s="2">
        <v>0.97</v>
      </c>
      <c r="F1186" s="2">
        <v>50.0</v>
      </c>
      <c r="G1186" s="4">
        <v>44460.90419190972</v>
      </c>
      <c r="H1186" s="8">
        <v>44460.0</v>
      </c>
    </row>
    <row r="1187">
      <c r="A1187" s="2">
        <v>3.95</v>
      </c>
      <c r="B1187" s="2">
        <v>231.2</v>
      </c>
      <c r="C1187" s="2">
        <v>890.4</v>
      </c>
      <c r="D1187" s="2">
        <v>2.41</v>
      </c>
      <c r="E1187" s="2">
        <v>0.97</v>
      </c>
      <c r="F1187" s="2">
        <v>50.0</v>
      </c>
      <c r="G1187" s="4">
        <v>44460.90428721065</v>
      </c>
      <c r="H1187" s="8">
        <v>44460.0</v>
      </c>
    </row>
    <row r="1188">
      <c r="A1188" s="2">
        <v>3.97</v>
      </c>
      <c r="B1188" s="2">
        <v>230.4</v>
      </c>
      <c r="C1188" s="2">
        <v>890.7</v>
      </c>
      <c r="D1188" s="2">
        <v>2.41</v>
      </c>
      <c r="E1188" s="2">
        <v>0.97</v>
      </c>
      <c r="F1188" s="2">
        <v>50.0</v>
      </c>
      <c r="G1188" s="4">
        <v>44460.904398645835</v>
      </c>
      <c r="H1188" s="8">
        <v>44460.0</v>
      </c>
    </row>
    <row r="1189">
      <c r="A1189" s="2">
        <v>3.96</v>
      </c>
      <c r="B1189" s="2">
        <v>230.9</v>
      </c>
      <c r="C1189" s="2">
        <v>890.6</v>
      </c>
      <c r="D1189" s="2">
        <v>2.41</v>
      </c>
      <c r="E1189" s="2">
        <v>0.97</v>
      </c>
      <c r="F1189" s="2">
        <v>50.0</v>
      </c>
      <c r="G1189" s="4">
        <v>44460.90449756944</v>
      </c>
      <c r="H1189" s="8">
        <v>44460.0</v>
      </c>
    </row>
    <row r="1190">
      <c r="A1190" s="2">
        <v>3.96</v>
      </c>
      <c r="B1190" s="2">
        <v>230.9</v>
      </c>
      <c r="C1190" s="2">
        <v>890.8</v>
      </c>
      <c r="D1190" s="2">
        <v>2.42</v>
      </c>
      <c r="E1190" s="2">
        <v>0.97</v>
      </c>
      <c r="F1190" s="2">
        <v>50.0</v>
      </c>
      <c r="G1190" s="4">
        <v>44460.90459829861</v>
      </c>
      <c r="H1190" s="8">
        <v>44460.0</v>
      </c>
    </row>
    <row r="1191">
      <c r="A1191" s="2">
        <v>3.96</v>
      </c>
      <c r="B1191" s="2">
        <v>230.8</v>
      </c>
      <c r="C1191" s="2">
        <v>891.0</v>
      </c>
      <c r="D1191" s="2">
        <v>2.42</v>
      </c>
      <c r="E1191" s="2">
        <v>0.97</v>
      </c>
      <c r="F1191" s="2">
        <v>50.0</v>
      </c>
      <c r="G1191" s="4">
        <v>44460.90469765046</v>
      </c>
      <c r="H1191" s="8">
        <v>44460.0</v>
      </c>
    </row>
    <row r="1192">
      <c r="A1192" s="2">
        <v>3.96</v>
      </c>
      <c r="B1192" s="2">
        <v>230.8</v>
      </c>
      <c r="C1192" s="2">
        <v>891.1</v>
      </c>
      <c r="D1192" s="2">
        <v>2.42</v>
      </c>
      <c r="E1192" s="2">
        <v>0.97</v>
      </c>
      <c r="F1192" s="2">
        <v>50.0</v>
      </c>
      <c r="G1192" s="4">
        <v>44460.904795173614</v>
      </c>
      <c r="H1192" s="8">
        <v>44460.0</v>
      </c>
    </row>
    <row r="1193">
      <c r="A1193" s="2">
        <v>3.96</v>
      </c>
      <c r="B1193" s="2">
        <v>230.7</v>
      </c>
      <c r="C1193" s="2">
        <v>891.2</v>
      </c>
      <c r="D1193" s="2">
        <v>2.42</v>
      </c>
      <c r="E1193" s="2">
        <v>0.97</v>
      </c>
      <c r="F1193" s="2">
        <v>49.9</v>
      </c>
      <c r="G1193" s="4">
        <v>44460.90489208333</v>
      </c>
      <c r="H1193" s="8">
        <v>44460.0</v>
      </c>
    </row>
    <row r="1194">
      <c r="A1194" s="2">
        <v>3.96</v>
      </c>
      <c r="B1194" s="2">
        <v>230.7</v>
      </c>
      <c r="C1194" s="2">
        <v>891.3</v>
      </c>
      <c r="D1194" s="2">
        <v>2.42</v>
      </c>
      <c r="E1194" s="2">
        <v>0.97</v>
      </c>
      <c r="F1194" s="2">
        <v>49.9</v>
      </c>
      <c r="G1194" s="4">
        <v>44460.90499163195</v>
      </c>
      <c r="H1194" s="8">
        <v>44460.0</v>
      </c>
    </row>
    <row r="1195">
      <c r="A1195" s="2">
        <v>3.96</v>
      </c>
      <c r="B1195" s="2">
        <v>230.7</v>
      </c>
      <c r="C1195" s="2">
        <v>891.4</v>
      </c>
      <c r="D1195" s="2">
        <v>2.43</v>
      </c>
      <c r="E1195" s="2">
        <v>0.97</v>
      </c>
      <c r="F1195" s="2">
        <v>49.9</v>
      </c>
      <c r="G1195" s="4">
        <v>44460.90508990741</v>
      </c>
      <c r="H1195" s="8">
        <v>44460.0</v>
      </c>
    </row>
    <row r="1196">
      <c r="A1196" s="2">
        <v>3.96</v>
      </c>
      <c r="B1196" s="2">
        <v>230.7</v>
      </c>
      <c r="C1196" s="2">
        <v>891.6</v>
      </c>
      <c r="D1196" s="2">
        <v>2.43</v>
      </c>
      <c r="E1196" s="2">
        <v>0.97</v>
      </c>
      <c r="F1196" s="2">
        <v>50.0</v>
      </c>
      <c r="G1196" s="4">
        <v>44460.90519168982</v>
      </c>
      <c r="H1196" s="8">
        <v>44460.0</v>
      </c>
    </row>
    <row r="1197">
      <c r="A1197" s="2">
        <v>3.96</v>
      </c>
      <c r="B1197" s="2">
        <v>230.7</v>
      </c>
      <c r="C1197" s="2">
        <v>891.6</v>
      </c>
      <c r="D1197" s="2">
        <v>2.43</v>
      </c>
      <c r="E1197" s="2">
        <v>0.97</v>
      </c>
      <c r="F1197" s="2">
        <v>49.9</v>
      </c>
      <c r="G1197" s="4">
        <v>44460.9052887963</v>
      </c>
      <c r="H1197" s="8">
        <v>44460.0</v>
      </c>
    </row>
    <row r="1198">
      <c r="A1198" s="2">
        <v>3.96</v>
      </c>
      <c r="B1198" s="2">
        <v>230.8</v>
      </c>
      <c r="C1198" s="2">
        <v>891.4</v>
      </c>
      <c r="D1198" s="2">
        <v>2.43</v>
      </c>
      <c r="E1198" s="2">
        <v>0.97</v>
      </c>
      <c r="F1198" s="2">
        <v>50.0</v>
      </c>
      <c r="G1198" s="4">
        <v>44460.90541662037</v>
      </c>
      <c r="H1198" s="8">
        <v>44460.0</v>
      </c>
    </row>
    <row r="1199">
      <c r="A1199" s="2">
        <v>3.96</v>
      </c>
      <c r="B1199" s="2">
        <v>230.9</v>
      </c>
      <c r="C1199" s="2">
        <v>890.8</v>
      </c>
      <c r="D1199" s="2">
        <v>2.44</v>
      </c>
      <c r="E1199" s="2">
        <v>0.97</v>
      </c>
      <c r="F1199" s="2">
        <v>50.0</v>
      </c>
      <c r="G1199" s="4">
        <v>44460.90551657407</v>
      </c>
      <c r="H1199" s="8">
        <v>44460.0</v>
      </c>
    </row>
    <row r="1200">
      <c r="A1200" s="2">
        <v>3.61</v>
      </c>
      <c r="B1200" s="2">
        <v>231.2</v>
      </c>
      <c r="C1200" s="2">
        <v>815.0</v>
      </c>
      <c r="D1200" s="2">
        <v>2.44</v>
      </c>
      <c r="E1200" s="2">
        <v>0.98</v>
      </c>
      <c r="F1200" s="2">
        <v>50.0</v>
      </c>
      <c r="G1200" s="4">
        <v>44460.90561890046</v>
      </c>
      <c r="H1200" s="8">
        <v>44460.0</v>
      </c>
    </row>
    <row r="1201">
      <c r="A1201" s="2">
        <v>3.95</v>
      </c>
      <c r="B1201" s="2">
        <v>231.1</v>
      </c>
      <c r="C1201" s="2">
        <v>890.9</v>
      </c>
      <c r="D1201" s="2">
        <v>2.44</v>
      </c>
      <c r="E1201" s="2">
        <v>0.97</v>
      </c>
      <c r="F1201" s="2">
        <v>50.0</v>
      </c>
      <c r="G1201" s="4">
        <v>44460.90572456019</v>
      </c>
      <c r="H1201" s="8">
        <v>44460.0</v>
      </c>
    </row>
    <row r="1202">
      <c r="A1202" s="2">
        <v>3.68</v>
      </c>
      <c r="B1202" s="2">
        <v>231.3</v>
      </c>
      <c r="C1202" s="2">
        <v>825.6</v>
      </c>
      <c r="D1202" s="2">
        <v>2.44</v>
      </c>
      <c r="E1202" s="2">
        <v>0.97</v>
      </c>
      <c r="F1202" s="2">
        <v>50.0</v>
      </c>
      <c r="G1202" s="4">
        <v>44460.90582962963</v>
      </c>
      <c r="H1202" s="8">
        <v>44460.0</v>
      </c>
    </row>
    <row r="1203">
      <c r="A1203" s="2">
        <v>3.7</v>
      </c>
      <c r="B1203" s="2">
        <v>231.3</v>
      </c>
      <c r="C1203" s="2">
        <v>832.0</v>
      </c>
      <c r="D1203" s="2">
        <v>2.44</v>
      </c>
      <c r="E1203" s="2">
        <v>0.97</v>
      </c>
      <c r="F1203" s="2">
        <v>50.0</v>
      </c>
      <c r="G1203" s="4">
        <v>44460.90593966436</v>
      </c>
      <c r="H1203" s="8">
        <v>44460.0</v>
      </c>
    </row>
    <row r="1204">
      <c r="A1204" s="2">
        <v>3.66</v>
      </c>
      <c r="B1204" s="2">
        <v>231.3</v>
      </c>
      <c r="C1204" s="2">
        <v>826.0</v>
      </c>
      <c r="D1204" s="2">
        <v>2.45</v>
      </c>
      <c r="E1204" s="2">
        <v>0.98</v>
      </c>
      <c r="F1204" s="2">
        <v>50.0</v>
      </c>
      <c r="G1204" s="4">
        <v>44460.90604457176</v>
      </c>
      <c r="H1204" s="8">
        <v>44460.0</v>
      </c>
    </row>
    <row r="1205">
      <c r="A1205" s="2">
        <v>3.67</v>
      </c>
      <c r="B1205" s="2">
        <v>231.3</v>
      </c>
      <c r="C1205" s="2">
        <v>827.6</v>
      </c>
      <c r="D1205" s="2">
        <v>2.45</v>
      </c>
      <c r="E1205" s="2">
        <v>0.98</v>
      </c>
      <c r="F1205" s="2">
        <v>50.0</v>
      </c>
      <c r="G1205" s="4">
        <v>44460.90615862269</v>
      </c>
      <c r="H1205" s="8">
        <v>44460.0</v>
      </c>
    </row>
    <row r="1206">
      <c r="A1206" s="2">
        <v>3.62</v>
      </c>
      <c r="B1206" s="2">
        <v>231.4</v>
      </c>
      <c r="C1206" s="2">
        <v>816.9</v>
      </c>
      <c r="D1206" s="2">
        <v>2.45</v>
      </c>
      <c r="E1206" s="2">
        <v>0.98</v>
      </c>
      <c r="F1206" s="2">
        <v>50.0</v>
      </c>
      <c r="G1206" s="4">
        <v>44460.906265451384</v>
      </c>
      <c r="H1206" s="8">
        <v>44460.0</v>
      </c>
    </row>
    <row r="1207">
      <c r="A1207" s="2">
        <v>3.65</v>
      </c>
      <c r="B1207" s="2">
        <v>231.2</v>
      </c>
      <c r="C1207" s="2">
        <v>823.0</v>
      </c>
      <c r="D1207" s="2">
        <v>2.45</v>
      </c>
      <c r="E1207" s="2">
        <v>0.97</v>
      </c>
      <c r="F1207" s="2">
        <v>50.0</v>
      </c>
      <c r="G1207" s="4">
        <v>44460.90636577546</v>
      </c>
      <c r="H1207" s="8">
        <v>44460.0</v>
      </c>
    </row>
    <row r="1208">
      <c r="A1208" s="2">
        <v>3.6</v>
      </c>
      <c r="B1208" s="2">
        <v>231.2</v>
      </c>
      <c r="C1208" s="2">
        <v>810.0</v>
      </c>
      <c r="D1208" s="2">
        <v>2.45</v>
      </c>
      <c r="E1208" s="2">
        <v>0.97</v>
      </c>
      <c r="F1208" s="2">
        <v>50.0</v>
      </c>
      <c r="G1208" s="4">
        <v>44460.906471469905</v>
      </c>
      <c r="H1208" s="8">
        <v>44460.0</v>
      </c>
    </row>
    <row r="1209">
      <c r="A1209" s="2">
        <v>3.62</v>
      </c>
      <c r="B1209" s="2">
        <v>231.1</v>
      </c>
      <c r="C1209" s="2">
        <v>815.7</v>
      </c>
      <c r="D1209" s="2">
        <v>2.46</v>
      </c>
      <c r="E1209" s="2">
        <v>0.98</v>
      </c>
      <c r="F1209" s="2">
        <v>50.0</v>
      </c>
      <c r="G1209" s="4">
        <v>44460.90658069444</v>
      </c>
      <c r="H1209" s="8">
        <v>44460.0</v>
      </c>
    </row>
    <row r="1210">
      <c r="A1210" s="2">
        <v>3.55</v>
      </c>
      <c r="B1210" s="2">
        <v>231.1</v>
      </c>
      <c r="C1210" s="2">
        <v>801.2</v>
      </c>
      <c r="D1210" s="2">
        <v>2.46</v>
      </c>
      <c r="E1210" s="2">
        <v>0.98</v>
      </c>
      <c r="F1210" s="2">
        <v>50.0</v>
      </c>
      <c r="G1210" s="4">
        <v>44460.906690393516</v>
      </c>
      <c r="H1210" s="8">
        <v>44460.0</v>
      </c>
    </row>
    <row r="1211">
      <c r="A1211" s="2">
        <v>3.49</v>
      </c>
      <c r="B1211" s="2">
        <v>231.1</v>
      </c>
      <c r="C1211" s="2">
        <v>786.5</v>
      </c>
      <c r="D1211" s="2">
        <v>2.46</v>
      </c>
      <c r="E1211" s="2">
        <v>0.97</v>
      </c>
      <c r="F1211" s="2">
        <v>50.0</v>
      </c>
      <c r="G1211" s="4">
        <v>44460.90679850694</v>
      </c>
      <c r="H1211" s="8">
        <v>44460.0</v>
      </c>
    </row>
    <row r="1212">
      <c r="A1212" s="2">
        <v>3.49</v>
      </c>
      <c r="B1212" s="2">
        <v>231.2</v>
      </c>
      <c r="C1212" s="2">
        <v>784.9</v>
      </c>
      <c r="D1212" s="2">
        <v>2.46</v>
      </c>
      <c r="E1212" s="2">
        <v>0.97</v>
      </c>
      <c r="F1212" s="2">
        <v>50.0</v>
      </c>
      <c r="G1212" s="4">
        <v>44460.90690292824</v>
      </c>
      <c r="H1212" s="8">
        <v>44460.0</v>
      </c>
    </row>
    <row r="1213">
      <c r="A1213" s="2">
        <v>3.51</v>
      </c>
      <c r="B1213" s="2">
        <v>231.2</v>
      </c>
      <c r="C1213" s="2">
        <v>791.9</v>
      </c>
      <c r="D1213" s="2">
        <v>2.46</v>
      </c>
      <c r="E1213" s="2">
        <v>0.98</v>
      </c>
      <c r="F1213" s="2">
        <v>50.0</v>
      </c>
      <c r="G1213" s="4">
        <v>44460.90700190973</v>
      </c>
      <c r="H1213" s="8">
        <v>44460.0</v>
      </c>
    </row>
    <row r="1214">
      <c r="A1214" s="2">
        <v>3.5</v>
      </c>
      <c r="B1214" s="2">
        <v>231.3</v>
      </c>
      <c r="C1214" s="2">
        <v>789.7</v>
      </c>
      <c r="D1214" s="2">
        <v>2.47</v>
      </c>
      <c r="E1214" s="2">
        <v>0.98</v>
      </c>
      <c r="F1214" s="2">
        <v>50.0</v>
      </c>
      <c r="G1214" s="4">
        <v>44460.90710163194</v>
      </c>
      <c r="H1214" s="8">
        <v>44460.0</v>
      </c>
    </row>
    <row r="1215">
      <c r="A1215" s="2">
        <v>3.47</v>
      </c>
      <c r="B1215" s="2">
        <v>231.4</v>
      </c>
      <c r="C1215" s="2">
        <v>783.3</v>
      </c>
      <c r="D1215" s="2">
        <v>2.47</v>
      </c>
      <c r="E1215" s="2">
        <v>0.97</v>
      </c>
      <c r="F1215" s="2">
        <v>50.0</v>
      </c>
      <c r="G1215" s="4">
        <v>44460.90720325231</v>
      </c>
      <c r="H1215" s="8">
        <v>44460.0</v>
      </c>
    </row>
    <row r="1216">
      <c r="A1216" s="2">
        <v>3.37</v>
      </c>
      <c r="B1216" s="2">
        <v>231.6</v>
      </c>
      <c r="C1216" s="2">
        <v>760.9</v>
      </c>
      <c r="D1216" s="2">
        <v>2.47</v>
      </c>
      <c r="E1216" s="2">
        <v>0.97</v>
      </c>
      <c r="F1216" s="2">
        <v>50.0</v>
      </c>
      <c r="G1216" s="4">
        <v>44460.90731041667</v>
      </c>
      <c r="H1216" s="8">
        <v>44460.0</v>
      </c>
    </row>
    <row r="1217">
      <c r="A1217" s="2">
        <v>3.4</v>
      </c>
      <c r="B1217" s="2">
        <v>231.5</v>
      </c>
      <c r="C1217" s="2">
        <v>767.0</v>
      </c>
      <c r="D1217" s="2">
        <v>2.47</v>
      </c>
      <c r="E1217" s="2">
        <v>0.97</v>
      </c>
      <c r="F1217" s="2">
        <v>50.0</v>
      </c>
      <c r="G1217" s="4">
        <v>44460.90741840278</v>
      </c>
      <c r="H1217" s="8">
        <v>44460.0</v>
      </c>
    </row>
    <row r="1218">
      <c r="A1218" s="2">
        <v>3.37</v>
      </c>
      <c r="B1218" s="2">
        <v>231.6</v>
      </c>
      <c r="C1218" s="2">
        <v>759.4</v>
      </c>
      <c r="D1218" s="2">
        <v>2.47</v>
      </c>
      <c r="E1218" s="2">
        <v>0.97</v>
      </c>
      <c r="F1218" s="2">
        <v>50.0</v>
      </c>
      <c r="G1218" s="4">
        <v>44460.907525752315</v>
      </c>
      <c r="H1218" s="8">
        <v>44460.0</v>
      </c>
    </row>
    <row r="1219">
      <c r="A1219" s="2">
        <v>3.39</v>
      </c>
      <c r="B1219" s="2">
        <v>231.5</v>
      </c>
      <c r="C1219" s="2">
        <v>764.3</v>
      </c>
      <c r="D1219" s="2">
        <v>2.48</v>
      </c>
      <c r="E1219" s="2">
        <v>0.97</v>
      </c>
      <c r="F1219" s="2">
        <v>50.0</v>
      </c>
      <c r="G1219" s="4">
        <v>44460.907633449075</v>
      </c>
      <c r="H1219" s="8">
        <v>44460.0</v>
      </c>
    </row>
    <row r="1220">
      <c r="A1220" s="2">
        <v>3.36</v>
      </c>
      <c r="B1220" s="2">
        <v>231.5</v>
      </c>
      <c r="C1220" s="2">
        <v>758.9</v>
      </c>
      <c r="D1220" s="2">
        <v>2.48</v>
      </c>
      <c r="E1220" s="2">
        <v>0.97</v>
      </c>
      <c r="F1220" s="2">
        <v>50.0</v>
      </c>
      <c r="G1220" s="4">
        <v>44460.90773905093</v>
      </c>
      <c r="H1220" s="8">
        <v>44460.0</v>
      </c>
    </row>
    <row r="1221">
      <c r="A1221" s="2">
        <v>3.34</v>
      </c>
      <c r="B1221" s="2">
        <v>231.6</v>
      </c>
      <c r="C1221" s="2">
        <v>753.1</v>
      </c>
      <c r="D1221" s="2">
        <v>2.48</v>
      </c>
      <c r="E1221" s="2">
        <v>0.97</v>
      </c>
      <c r="F1221" s="2">
        <v>50.0</v>
      </c>
      <c r="G1221" s="4">
        <v>44460.90784071759</v>
      </c>
      <c r="H1221" s="8">
        <v>44460.0</v>
      </c>
    </row>
    <row r="1222">
      <c r="A1222" s="2">
        <v>3.32</v>
      </c>
      <c r="B1222" s="2">
        <v>231.5</v>
      </c>
      <c r="C1222" s="2">
        <v>747.5</v>
      </c>
      <c r="D1222" s="2">
        <v>2.48</v>
      </c>
      <c r="E1222" s="2">
        <v>0.97</v>
      </c>
      <c r="F1222" s="2">
        <v>50.0</v>
      </c>
      <c r="G1222" s="4">
        <v>44460.90794385417</v>
      </c>
      <c r="H1222" s="8">
        <v>44460.0</v>
      </c>
    </row>
    <row r="1223">
      <c r="A1223" s="2">
        <v>3.31</v>
      </c>
      <c r="B1223" s="2">
        <v>231.5</v>
      </c>
      <c r="C1223" s="2">
        <v>747.3</v>
      </c>
      <c r="D1223" s="2">
        <v>2.48</v>
      </c>
      <c r="E1223" s="2">
        <v>0.97</v>
      </c>
      <c r="F1223" s="2">
        <v>50.0</v>
      </c>
      <c r="G1223" s="4">
        <v>44460.90804925926</v>
      </c>
      <c r="H1223" s="8">
        <v>44460.0</v>
      </c>
    </row>
    <row r="1224">
      <c r="A1224" s="2">
        <v>3.3</v>
      </c>
      <c r="B1224" s="2">
        <v>231.5</v>
      </c>
      <c r="C1224" s="2">
        <v>743.2</v>
      </c>
      <c r="D1224" s="2">
        <v>2.49</v>
      </c>
      <c r="E1224" s="2">
        <v>0.97</v>
      </c>
      <c r="F1224" s="2">
        <v>50.0</v>
      </c>
      <c r="G1224" s="4">
        <v>44460.90816170139</v>
      </c>
      <c r="H1224" s="8">
        <v>44460.0</v>
      </c>
    </row>
    <row r="1225">
      <c r="A1225" s="2">
        <v>3.31</v>
      </c>
      <c r="B1225" s="2">
        <v>231.6</v>
      </c>
      <c r="C1225" s="2">
        <v>745.8</v>
      </c>
      <c r="D1225" s="2">
        <v>2.49</v>
      </c>
      <c r="E1225" s="2">
        <v>0.97</v>
      </c>
      <c r="F1225" s="2">
        <v>50.0</v>
      </c>
      <c r="G1225" s="4">
        <v>44460.9082634838</v>
      </c>
      <c r="H1225" s="8">
        <v>44460.0</v>
      </c>
    </row>
    <row r="1226">
      <c r="A1226" s="2">
        <v>3.3</v>
      </c>
      <c r="B1226" s="2">
        <v>231.6</v>
      </c>
      <c r="C1226" s="2">
        <v>743.5</v>
      </c>
      <c r="D1226" s="2">
        <v>2.49</v>
      </c>
      <c r="E1226" s="2">
        <v>0.97</v>
      </c>
      <c r="F1226" s="2">
        <v>50.0</v>
      </c>
      <c r="G1226" s="4">
        <v>44460.908364918985</v>
      </c>
      <c r="H1226" s="8">
        <v>44460.0</v>
      </c>
    </row>
    <row r="1227">
      <c r="A1227" s="2">
        <v>3.3</v>
      </c>
      <c r="B1227" s="2">
        <v>231.6</v>
      </c>
      <c r="C1227" s="2">
        <v>743.3</v>
      </c>
      <c r="D1227" s="2">
        <v>2.49</v>
      </c>
      <c r="E1227" s="2">
        <v>0.97</v>
      </c>
      <c r="F1227" s="2">
        <v>50.0</v>
      </c>
      <c r="G1227" s="4">
        <v>44460.90846342593</v>
      </c>
      <c r="H1227" s="8">
        <v>44460.0</v>
      </c>
    </row>
    <row r="1228">
      <c r="A1228" s="2">
        <v>3.3</v>
      </c>
      <c r="B1228" s="2">
        <v>231.5</v>
      </c>
      <c r="C1228" s="2">
        <v>743.4</v>
      </c>
      <c r="D1228" s="2">
        <v>2.49</v>
      </c>
      <c r="E1228" s="2">
        <v>0.97</v>
      </c>
      <c r="F1228" s="2">
        <v>50.0</v>
      </c>
      <c r="G1228" s="4">
        <v>44460.90856445602</v>
      </c>
      <c r="H1228" s="8">
        <v>44460.0</v>
      </c>
    </row>
    <row r="1229">
      <c r="A1229" s="2">
        <v>3.3</v>
      </c>
      <c r="B1229" s="2">
        <v>231.5</v>
      </c>
      <c r="C1229" s="2">
        <v>743.5</v>
      </c>
      <c r="D1229" s="2">
        <v>2.49</v>
      </c>
      <c r="E1229" s="2">
        <v>0.97</v>
      </c>
      <c r="F1229" s="2">
        <v>49.9</v>
      </c>
      <c r="G1229" s="4">
        <v>44460.9086675</v>
      </c>
      <c r="H1229" s="8">
        <v>44460.0</v>
      </c>
    </row>
    <row r="1230">
      <c r="A1230" s="2">
        <v>3.3</v>
      </c>
      <c r="B1230" s="2">
        <v>231.4</v>
      </c>
      <c r="C1230" s="2">
        <v>743.6</v>
      </c>
      <c r="D1230" s="2">
        <v>2.5</v>
      </c>
      <c r="E1230" s="2">
        <v>0.97</v>
      </c>
      <c r="F1230" s="2">
        <v>49.9</v>
      </c>
      <c r="G1230" s="4">
        <v>44460.908771250004</v>
      </c>
      <c r="H1230" s="8">
        <v>44460.0</v>
      </c>
    </row>
    <row r="1231">
      <c r="A1231" s="2">
        <v>3.3</v>
      </c>
      <c r="B1231" s="2">
        <v>231.4</v>
      </c>
      <c r="C1231" s="2">
        <v>743.7</v>
      </c>
      <c r="D1231" s="2">
        <v>2.5</v>
      </c>
      <c r="E1231" s="2">
        <v>0.97</v>
      </c>
      <c r="F1231" s="2">
        <v>49.9</v>
      </c>
      <c r="G1231" s="4">
        <v>44460.90886815972</v>
      </c>
      <c r="H1231" s="8">
        <v>44460.0</v>
      </c>
    </row>
    <row r="1232">
      <c r="A1232" s="2">
        <v>3.3</v>
      </c>
      <c r="B1232" s="2">
        <v>231.5</v>
      </c>
      <c r="C1232" s="2">
        <v>743.8</v>
      </c>
      <c r="D1232" s="2">
        <v>2.5</v>
      </c>
      <c r="E1232" s="2">
        <v>0.97</v>
      </c>
      <c r="F1232" s="2">
        <v>50.0</v>
      </c>
      <c r="G1232" s="4">
        <v>44460.908965208335</v>
      </c>
      <c r="H1232" s="8">
        <v>44460.0</v>
      </c>
    </row>
    <row r="1233">
      <c r="A1233" s="2">
        <v>3.3</v>
      </c>
      <c r="B1233" s="2">
        <v>231.7</v>
      </c>
      <c r="C1233" s="2">
        <v>743.9</v>
      </c>
      <c r="D1233" s="2">
        <v>2.5</v>
      </c>
      <c r="E1233" s="2">
        <v>0.97</v>
      </c>
      <c r="F1233" s="2">
        <v>50.0</v>
      </c>
      <c r="G1233" s="4">
        <v>44460.90906741898</v>
      </c>
      <c r="H1233" s="8">
        <v>44460.0</v>
      </c>
    </row>
    <row r="1234">
      <c r="A1234" s="2">
        <v>3.3</v>
      </c>
      <c r="B1234" s="2">
        <v>231.7</v>
      </c>
      <c r="C1234" s="2">
        <v>743.9</v>
      </c>
      <c r="D1234" s="2">
        <v>2.51</v>
      </c>
      <c r="E1234" s="2">
        <v>0.97</v>
      </c>
      <c r="F1234" s="2">
        <v>50.0</v>
      </c>
      <c r="G1234" s="4">
        <v>44460.909177002315</v>
      </c>
      <c r="H1234" s="8">
        <v>44460.0</v>
      </c>
    </row>
    <row r="1235">
      <c r="A1235" s="2">
        <v>3.3</v>
      </c>
      <c r="B1235" s="2">
        <v>231.7</v>
      </c>
      <c r="C1235" s="2">
        <v>744.0</v>
      </c>
      <c r="D1235" s="2">
        <v>2.51</v>
      </c>
      <c r="E1235" s="2">
        <v>0.97</v>
      </c>
      <c r="F1235" s="2">
        <v>50.0</v>
      </c>
      <c r="G1235" s="4">
        <v>44460.90928197917</v>
      </c>
      <c r="H1235" s="8">
        <v>44460.0</v>
      </c>
    </row>
    <row r="1236">
      <c r="A1236" s="2">
        <v>3.3</v>
      </c>
      <c r="B1236" s="2">
        <v>231.7</v>
      </c>
      <c r="C1236" s="2">
        <v>744.2</v>
      </c>
      <c r="D1236" s="2">
        <v>2.51</v>
      </c>
      <c r="E1236" s="2">
        <v>0.97</v>
      </c>
      <c r="F1236" s="2">
        <v>50.0</v>
      </c>
      <c r="G1236" s="4">
        <v>44460.90938133102</v>
      </c>
      <c r="H1236" s="8">
        <v>44460.0</v>
      </c>
    </row>
    <row r="1237">
      <c r="A1237" s="2">
        <v>3.3</v>
      </c>
      <c r="B1237" s="2">
        <v>231.7</v>
      </c>
      <c r="C1237" s="2">
        <v>744.3</v>
      </c>
      <c r="D1237" s="2">
        <v>2.51</v>
      </c>
      <c r="E1237" s="2">
        <v>0.97</v>
      </c>
      <c r="F1237" s="2">
        <v>50.0</v>
      </c>
      <c r="G1237" s="4">
        <v>44460.909478842594</v>
      </c>
      <c r="H1237" s="8">
        <v>44460.0</v>
      </c>
    </row>
    <row r="1238">
      <c r="A1238" s="2">
        <v>3.3</v>
      </c>
      <c r="B1238" s="2">
        <v>231.7</v>
      </c>
      <c r="C1238" s="2">
        <v>744.3</v>
      </c>
      <c r="D1238" s="2">
        <v>2.51</v>
      </c>
      <c r="E1238" s="2">
        <v>0.97</v>
      </c>
      <c r="F1238" s="2">
        <v>50.0</v>
      </c>
      <c r="G1238" s="4">
        <v>44460.909580775464</v>
      </c>
      <c r="H1238" s="8">
        <v>44460.0</v>
      </c>
    </row>
    <row r="1239">
      <c r="A1239" s="2">
        <v>3.3</v>
      </c>
      <c r="B1239" s="2">
        <v>231.7</v>
      </c>
      <c r="C1239" s="2">
        <v>744.5</v>
      </c>
      <c r="D1239" s="2">
        <v>2.51</v>
      </c>
      <c r="E1239" s="2">
        <v>0.97</v>
      </c>
      <c r="F1239" s="2">
        <v>50.0</v>
      </c>
      <c r="G1239" s="4">
        <v>44460.90967774305</v>
      </c>
      <c r="H1239" s="8">
        <v>44460.0</v>
      </c>
    </row>
    <row r="1240">
      <c r="A1240" s="2">
        <v>3.3</v>
      </c>
      <c r="B1240" s="2">
        <v>231.7</v>
      </c>
      <c r="C1240" s="2">
        <v>744.5</v>
      </c>
      <c r="D1240" s="2">
        <v>2.52</v>
      </c>
      <c r="E1240" s="2">
        <v>0.97</v>
      </c>
      <c r="F1240" s="2">
        <v>50.0</v>
      </c>
      <c r="G1240" s="4">
        <v>44460.90977384259</v>
      </c>
      <c r="H1240" s="8">
        <v>44460.0</v>
      </c>
    </row>
    <row r="1241">
      <c r="A1241" s="2">
        <v>3.3</v>
      </c>
      <c r="B1241" s="2">
        <v>231.7</v>
      </c>
      <c r="C1241" s="2">
        <v>744.6</v>
      </c>
      <c r="D1241" s="2">
        <v>2.52</v>
      </c>
      <c r="E1241" s="2">
        <v>0.97</v>
      </c>
      <c r="F1241" s="2">
        <v>50.0</v>
      </c>
      <c r="G1241" s="4">
        <v>44460.90988476852</v>
      </c>
      <c r="H1241" s="8">
        <v>44460.0</v>
      </c>
    </row>
    <row r="1242">
      <c r="A1242" s="2">
        <v>3.3</v>
      </c>
      <c r="B1242" s="2">
        <v>231.7</v>
      </c>
      <c r="C1242" s="2">
        <v>744.8</v>
      </c>
      <c r="D1242" s="2">
        <v>2.52</v>
      </c>
      <c r="E1242" s="2">
        <v>0.97</v>
      </c>
      <c r="F1242" s="2">
        <v>50.0</v>
      </c>
      <c r="G1242" s="4">
        <v>44460.90998537037</v>
      </c>
      <c r="H1242" s="8">
        <v>44460.0</v>
      </c>
    </row>
    <row r="1243">
      <c r="A1243" s="2">
        <v>3.3</v>
      </c>
      <c r="B1243" s="2">
        <v>231.8</v>
      </c>
      <c r="C1243" s="2">
        <v>744.8</v>
      </c>
      <c r="D1243" s="2">
        <v>2.52</v>
      </c>
      <c r="E1243" s="2">
        <v>0.97</v>
      </c>
      <c r="F1243" s="2">
        <v>50.0</v>
      </c>
      <c r="G1243" s="4">
        <v>44460.910090694444</v>
      </c>
      <c r="H1243" s="8">
        <v>44460.0</v>
      </c>
    </row>
    <row r="1244">
      <c r="A1244" s="2">
        <v>3.3</v>
      </c>
      <c r="B1244" s="2">
        <v>231.8</v>
      </c>
      <c r="C1244" s="2">
        <v>744.9</v>
      </c>
      <c r="D1244" s="2">
        <v>2.52</v>
      </c>
      <c r="E1244" s="2">
        <v>0.97</v>
      </c>
      <c r="F1244" s="2">
        <v>50.0</v>
      </c>
      <c r="G1244" s="4">
        <v>44460.9101939699</v>
      </c>
      <c r="H1244" s="8">
        <v>44460.0</v>
      </c>
    </row>
    <row r="1245">
      <c r="A1245" s="2">
        <v>3.3</v>
      </c>
      <c r="B1245" s="2">
        <v>231.8</v>
      </c>
      <c r="C1245" s="2">
        <v>744.9</v>
      </c>
      <c r="D1245" s="2">
        <v>2.53</v>
      </c>
      <c r="E1245" s="2">
        <v>0.97</v>
      </c>
      <c r="F1245" s="2">
        <v>50.0</v>
      </c>
      <c r="G1245" s="4">
        <v>44460.91029640046</v>
      </c>
      <c r="H1245" s="8">
        <v>44460.0</v>
      </c>
    </row>
    <row r="1246">
      <c r="A1246" s="2">
        <v>3.3</v>
      </c>
      <c r="B1246" s="2">
        <v>231.9</v>
      </c>
      <c r="C1246" s="2">
        <v>745.0</v>
      </c>
      <c r="D1246" s="2">
        <v>2.53</v>
      </c>
      <c r="E1246" s="2">
        <v>0.97</v>
      </c>
      <c r="F1246" s="2">
        <v>50.0</v>
      </c>
      <c r="G1246" s="4">
        <v>44460.91040649306</v>
      </c>
      <c r="H1246" s="8">
        <v>44460.0</v>
      </c>
    </row>
    <row r="1247">
      <c r="A1247" s="2">
        <v>2.8</v>
      </c>
      <c r="B1247" s="2">
        <v>232.2</v>
      </c>
      <c r="C1247" s="2">
        <v>631.3</v>
      </c>
      <c r="D1247" s="2">
        <v>2.53</v>
      </c>
      <c r="E1247" s="2">
        <v>0.97</v>
      </c>
      <c r="F1247" s="2">
        <v>50.0</v>
      </c>
      <c r="G1247" s="4">
        <v>44460.910509814814</v>
      </c>
      <c r="H1247" s="8">
        <v>44460.0</v>
      </c>
    </row>
    <row r="1248">
      <c r="A1248" s="2">
        <v>2.8</v>
      </c>
      <c r="B1248" s="2">
        <v>232.2</v>
      </c>
      <c r="C1248" s="2">
        <v>630.9</v>
      </c>
      <c r="D1248" s="2">
        <v>2.53</v>
      </c>
      <c r="E1248" s="2">
        <v>0.97</v>
      </c>
      <c r="F1248" s="2">
        <v>50.0</v>
      </c>
      <c r="G1248" s="4">
        <v>44460.91061133102</v>
      </c>
      <c r="H1248" s="8">
        <v>44460.0</v>
      </c>
    </row>
    <row r="1249">
      <c r="A1249" s="2">
        <v>2.79</v>
      </c>
      <c r="B1249" s="2">
        <v>232.2</v>
      </c>
      <c r="C1249" s="2">
        <v>628.3</v>
      </c>
      <c r="D1249" s="2">
        <v>2.53</v>
      </c>
      <c r="E1249" s="2">
        <v>0.97</v>
      </c>
      <c r="F1249" s="2">
        <v>50.0</v>
      </c>
      <c r="G1249" s="4">
        <v>44460.910712847224</v>
      </c>
      <c r="H1249" s="8">
        <v>44460.0</v>
      </c>
    </row>
    <row r="1250">
      <c r="A1250" s="2">
        <v>2.77</v>
      </c>
      <c r="B1250" s="2">
        <v>232.2</v>
      </c>
      <c r="C1250" s="2">
        <v>624.1</v>
      </c>
      <c r="D1250" s="2">
        <v>2.53</v>
      </c>
      <c r="E1250" s="2">
        <v>0.97</v>
      </c>
      <c r="F1250" s="2">
        <v>50.0</v>
      </c>
      <c r="G1250" s="4">
        <v>44460.91081927084</v>
      </c>
      <c r="H1250" s="8">
        <v>44460.0</v>
      </c>
    </row>
    <row r="1251">
      <c r="A1251" s="2">
        <v>2.73</v>
      </c>
      <c r="B1251" s="2">
        <v>232.1</v>
      </c>
      <c r="C1251" s="2">
        <v>613.0</v>
      </c>
      <c r="D1251" s="2">
        <v>2.54</v>
      </c>
      <c r="E1251" s="2">
        <v>0.97</v>
      </c>
      <c r="F1251" s="2">
        <v>50.0</v>
      </c>
      <c r="G1251" s="4">
        <v>44460.910955694446</v>
      </c>
      <c r="H1251" s="8">
        <v>44460.0</v>
      </c>
    </row>
    <row r="1252">
      <c r="A1252" s="2">
        <v>2.71</v>
      </c>
      <c r="B1252" s="2">
        <v>232.2</v>
      </c>
      <c r="C1252" s="2">
        <v>609.1</v>
      </c>
      <c r="D1252" s="2">
        <v>2.54</v>
      </c>
      <c r="E1252" s="2">
        <v>0.97</v>
      </c>
      <c r="F1252" s="2">
        <v>50.0</v>
      </c>
      <c r="G1252" s="4">
        <v>44460.91106320602</v>
      </c>
      <c r="H1252" s="8">
        <v>44460.0</v>
      </c>
    </row>
    <row r="1253">
      <c r="A1253" s="2">
        <v>2.69</v>
      </c>
      <c r="B1253" s="2">
        <v>232.2</v>
      </c>
      <c r="C1253" s="2">
        <v>605.2</v>
      </c>
      <c r="D1253" s="2">
        <v>2.54</v>
      </c>
      <c r="E1253" s="2">
        <v>0.97</v>
      </c>
      <c r="F1253" s="2">
        <v>50.0</v>
      </c>
      <c r="G1253" s="4">
        <v>44460.91116886574</v>
      </c>
      <c r="H1253" s="8">
        <v>44460.0</v>
      </c>
    </row>
    <row r="1254">
      <c r="A1254" s="2">
        <v>2.68</v>
      </c>
      <c r="B1254" s="2">
        <v>232.3</v>
      </c>
      <c r="C1254" s="2">
        <v>602.4</v>
      </c>
      <c r="D1254" s="2">
        <v>2.54</v>
      </c>
      <c r="E1254" s="2">
        <v>0.97</v>
      </c>
      <c r="F1254" s="2">
        <v>50.0</v>
      </c>
      <c r="G1254" s="4">
        <v>44460.91127628472</v>
      </c>
      <c r="H1254" s="8">
        <v>44460.0</v>
      </c>
    </row>
    <row r="1255">
      <c r="A1255" s="2">
        <v>2.66</v>
      </c>
      <c r="B1255" s="2">
        <v>232.2</v>
      </c>
      <c r="C1255" s="2">
        <v>597.8</v>
      </c>
      <c r="D1255" s="2">
        <v>2.54</v>
      </c>
      <c r="E1255" s="2">
        <v>0.97</v>
      </c>
      <c r="F1255" s="2">
        <v>50.0</v>
      </c>
      <c r="G1255" s="4">
        <v>44460.91138336806</v>
      </c>
      <c r="H1255" s="8">
        <v>44460.0</v>
      </c>
    </row>
    <row r="1256">
      <c r="A1256" s="2">
        <v>2.65</v>
      </c>
      <c r="B1256" s="2">
        <v>232.2</v>
      </c>
      <c r="C1256" s="2">
        <v>594.7</v>
      </c>
      <c r="D1256" s="2">
        <v>2.54</v>
      </c>
      <c r="E1256" s="2">
        <v>0.97</v>
      </c>
      <c r="F1256" s="2">
        <v>50.0</v>
      </c>
      <c r="G1256" s="4">
        <v>44460.91149168981</v>
      </c>
      <c r="H1256" s="8">
        <v>44460.0</v>
      </c>
    </row>
    <row r="1257">
      <c r="A1257" s="2">
        <v>2.63</v>
      </c>
      <c r="B1257" s="2">
        <v>232.2</v>
      </c>
      <c r="C1257" s="2">
        <v>590.3</v>
      </c>
      <c r="D1257" s="2">
        <v>2.54</v>
      </c>
      <c r="E1257" s="2">
        <v>0.97</v>
      </c>
      <c r="F1257" s="2">
        <v>49.9</v>
      </c>
      <c r="G1257" s="4">
        <v>44460.911593321754</v>
      </c>
      <c r="H1257" s="8">
        <v>44460.0</v>
      </c>
    </row>
    <row r="1258">
      <c r="A1258" s="2">
        <v>2.61</v>
      </c>
      <c r="B1258" s="2">
        <v>232.3</v>
      </c>
      <c r="C1258" s="2">
        <v>586.8</v>
      </c>
      <c r="D1258" s="2">
        <v>2.55</v>
      </c>
      <c r="E1258" s="2">
        <v>0.97</v>
      </c>
      <c r="F1258" s="2">
        <v>49.9</v>
      </c>
      <c r="G1258" s="4">
        <v>44460.911697557865</v>
      </c>
      <c r="H1258" s="8">
        <v>44460.0</v>
      </c>
    </row>
    <row r="1259">
      <c r="A1259" s="2">
        <v>2.59</v>
      </c>
      <c r="B1259" s="2">
        <v>232.5</v>
      </c>
      <c r="C1259" s="2">
        <v>582.5</v>
      </c>
      <c r="D1259" s="2">
        <v>2.55</v>
      </c>
      <c r="E1259" s="2">
        <v>0.97</v>
      </c>
      <c r="F1259" s="2">
        <v>49.9</v>
      </c>
      <c r="G1259" s="4">
        <v>44460.911798773144</v>
      </c>
      <c r="H1259" s="8">
        <v>44460.0</v>
      </c>
    </row>
    <row r="1260">
      <c r="A1260" s="2">
        <v>2.58</v>
      </c>
      <c r="B1260" s="2">
        <v>232.5</v>
      </c>
      <c r="C1260" s="2">
        <v>578.9</v>
      </c>
      <c r="D1260" s="2">
        <v>2.55</v>
      </c>
      <c r="E1260" s="2">
        <v>0.97</v>
      </c>
      <c r="F1260" s="2">
        <v>49.9</v>
      </c>
      <c r="G1260" s="4">
        <v>44460.91190496528</v>
      </c>
      <c r="H1260" s="8">
        <v>44460.0</v>
      </c>
    </row>
    <row r="1261">
      <c r="A1261" s="2">
        <v>2.56</v>
      </c>
      <c r="B1261" s="2">
        <v>232.6</v>
      </c>
      <c r="C1261" s="2">
        <v>574.7</v>
      </c>
      <c r="D1261" s="2">
        <v>2.55</v>
      </c>
      <c r="E1261" s="2">
        <v>0.97</v>
      </c>
      <c r="F1261" s="2">
        <v>49.9</v>
      </c>
      <c r="G1261" s="4">
        <v>44460.912011203705</v>
      </c>
      <c r="H1261" s="8">
        <v>44460.0</v>
      </c>
    </row>
    <row r="1262">
      <c r="A1262" s="2">
        <v>2.54</v>
      </c>
      <c r="B1262" s="2">
        <v>232.7</v>
      </c>
      <c r="C1262" s="2">
        <v>570.8</v>
      </c>
      <c r="D1262" s="2">
        <v>2.55</v>
      </c>
      <c r="E1262" s="2">
        <v>0.97</v>
      </c>
      <c r="F1262" s="2">
        <v>50.0</v>
      </c>
      <c r="G1262" s="4">
        <v>44460.91212335648</v>
      </c>
      <c r="H1262" s="8">
        <v>44460.0</v>
      </c>
    </row>
    <row r="1263">
      <c r="A1263" s="2">
        <v>2.52</v>
      </c>
      <c r="B1263" s="2">
        <v>232.8</v>
      </c>
      <c r="C1263" s="2">
        <v>566.1</v>
      </c>
      <c r="D1263" s="2">
        <v>2.55</v>
      </c>
      <c r="E1263" s="2">
        <v>0.97</v>
      </c>
      <c r="F1263" s="2">
        <v>50.0</v>
      </c>
      <c r="G1263" s="4">
        <v>44460.91223068287</v>
      </c>
      <c r="H1263" s="8">
        <v>44460.0</v>
      </c>
    </row>
    <row r="1264">
      <c r="A1264" s="2">
        <v>2.5</v>
      </c>
      <c r="B1264" s="2">
        <v>232.8</v>
      </c>
      <c r="C1264" s="2">
        <v>562.7</v>
      </c>
      <c r="D1264" s="2">
        <v>2.55</v>
      </c>
      <c r="E1264" s="2">
        <v>0.97</v>
      </c>
      <c r="F1264" s="2">
        <v>50.0</v>
      </c>
      <c r="G1264" s="4">
        <v>44460.912327673606</v>
      </c>
      <c r="H1264" s="8">
        <v>44460.0</v>
      </c>
    </row>
    <row r="1265">
      <c r="A1265" s="2">
        <v>2.49</v>
      </c>
      <c r="B1265" s="2">
        <v>232.9</v>
      </c>
      <c r="C1265" s="2">
        <v>559.1</v>
      </c>
      <c r="D1265" s="2">
        <v>2.56</v>
      </c>
      <c r="E1265" s="2">
        <v>0.97</v>
      </c>
      <c r="F1265" s="2">
        <v>50.0</v>
      </c>
      <c r="G1265" s="4">
        <v>44460.91243261574</v>
      </c>
      <c r="H1265" s="8">
        <v>44460.0</v>
      </c>
    </row>
    <row r="1266">
      <c r="A1266" s="2">
        <v>2.47</v>
      </c>
      <c r="B1266" s="2">
        <v>232.9</v>
      </c>
      <c r="C1266" s="2">
        <v>555.0</v>
      </c>
      <c r="D1266" s="2">
        <v>2.56</v>
      </c>
      <c r="E1266" s="2">
        <v>0.97</v>
      </c>
      <c r="F1266" s="2">
        <v>50.0</v>
      </c>
      <c r="G1266" s="4">
        <v>44460.912540300924</v>
      </c>
      <c r="H1266" s="8">
        <v>44460.0</v>
      </c>
    </row>
    <row r="1267">
      <c r="A1267" s="2">
        <v>2.45</v>
      </c>
      <c r="B1267" s="2">
        <v>233.0</v>
      </c>
      <c r="C1267" s="2">
        <v>550.7</v>
      </c>
      <c r="D1267" s="2">
        <v>2.56</v>
      </c>
      <c r="E1267" s="2">
        <v>0.96</v>
      </c>
      <c r="F1267" s="2">
        <v>50.0</v>
      </c>
      <c r="G1267" s="4">
        <v>44460.91264090278</v>
      </c>
      <c r="H1267" s="8">
        <v>44460.0</v>
      </c>
    </row>
    <row r="1268">
      <c r="A1268" s="2">
        <v>2.44</v>
      </c>
      <c r="B1268" s="2">
        <v>232.9</v>
      </c>
      <c r="C1268" s="2">
        <v>548.3</v>
      </c>
      <c r="D1268" s="2">
        <v>2.56</v>
      </c>
      <c r="E1268" s="2">
        <v>0.96</v>
      </c>
      <c r="F1268" s="2">
        <v>50.0</v>
      </c>
      <c r="G1268" s="4">
        <v>44460.91274119213</v>
      </c>
      <c r="H1268" s="8">
        <v>44460.0</v>
      </c>
    </row>
    <row r="1269">
      <c r="A1269" s="2">
        <v>2.42</v>
      </c>
      <c r="B1269" s="2">
        <v>232.9</v>
      </c>
      <c r="C1269" s="2">
        <v>544.4</v>
      </c>
      <c r="D1269" s="2">
        <v>2.56</v>
      </c>
      <c r="E1269" s="2">
        <v>0.96</v>
      </c>
      <c r="F1269" s="2">
        <v>50.0</v>
      </c>
      <c r="G1269" s="4">
        <v>44460.91284553241</v>
      </c>
      <c r="H1269" s="8">
        <v>44460.0</v>
      </c>
    </row>
    <row r="1270">
      <c r="A1270" s="2">
        <v>2.41</v>
      </c>
      <c r="B1270" s="2">
        <v>232.9</v>
      </c>
      <c r="C1270" s="2">
        <v>540.5</v>
      </c>
      <c r="D1270" s="2">
        <v>2.56</v>
      </c>
      <c r="E1270" s="2">
        <v>0.96</v>
      </c>
      <c r="F1270" s="2">
        <v>50.0</v>
      </c>
      <c r="G1270" s="4">
        <v>44460.912953148145</v>
      </c>
      <c r="H1270" s="8">
        <v>44460.0</v>
      </c>
    </row>
    <row r="1271">
      <c r="A1271" s="2">
        <v>2.39</v>
      </c>
      <c r="B1271" s="2">
        <v>232.9</v>
      </c>
      <c r="C1271" s="2">
        <v>536.3</v>
      </c>
      <c r="D1271" s="2">
        <v>2.56</v>
      </c>
      <c r="E1271" s="2">
        <v>0.96</v>
      </c>
      <c r="F1271" s="2">
        <v>50.0</v>
      </c>
      <c r="G1271" s="4">
        <v>44460.91306184028</v>
      </c>
      <c r="H1271" s="8">
        <v>44460.0</v>
      </c>
    </row>
    <row r="1272">
      <c r="A1272" s="2">
        <v>2.37</v>
      </c>
      <c r="B1272" s="2">
        <v>232.9</v>
      </c>
      <c r="C1272" s="2">
        <v>532.6</v>
      </c>
      <c r="D1272" s="2">
        <v>2.57</v>
      </c>
      <c r="E1272" s="2">
        <v>0.96</v>
      </c>
      <c r="F1272" s="2">
        <v>50.0</v>
      </c>
      <c r="G1272" s="4">
        <v>44460.913169884254</v>
      </c>
      <c r="H1272" s="8">
        <v>44460.0</v>
      </c>
    </row>
    <row r="1273">
      <c r="A1273" s="2">
        <v>2.36</v>
      </c>
      <c r="B1273" s="2">
        <v>232.9</v>
      </c>
      <c r="C1273" s="2">
        <v>529.1</v>
      </c>
      <c r="D1273" s="2">
        <v>2.57</v>
      </c>
      <c r="E1273" s="2">
        <v>0.96</v>
      </c>
      <c r="F1273" s="2">
        <v>50.0</v>
      </c>
      <c r="G1273" s="4">
        <v>44460.91327143519</v>
      </c>
      <c r="H1273" s="8">
        <v>44460.0</v>
      </c>
    </row>
    <row r="1274">
      <c r="A1274" s="2">
        <v>2.34</v>
      </c>
      <c r="B1274" s="2">
        <v>232.9</v>
      </c>
      <c r="C1274" s="2">
        <v>525.4</v>
      </c>
      <c r="D1274" s="2">
        <v>2.57</v>
      </c>
      <c r="E1274" s="2">
        <v>0.96</v>
      </c>
      <c r="F1274" s="2">
        <v>50.0</v>
      </c>
      <c r="G1274" s="4">
        <v>44460.913374745374</v>
      </c>
      <c r="H1274" s="8">
        <v>44460.0</v>
      </c>
    </row>
    <row r="1275">
      <c r="A1275" s="2">
        <v>2.33</v>
      </c>
      <c r="B1275" s="2">
        <v>233.0</v>
      </c>
      <c r="C1275" s="2">
        <v>522.2</v>
      </c>
      <c r="D1275" s="2">
        <v>2.57</v>
      </c>
      <c r="E1275" s="2">
        <v>0.96</v>
      </c>
      <c r="F1275" s="2">
        <v>50.0</v>
      </c>
      <c r="G1275" s="4">
        <v>44460.913485972225</v>
      </c>
      <c r="H1275" s="8">
        <v>44460.0</v>
      </c>
    </row>
    <row r="1276">
      <c r="A1276" s="2">
        <v>1.95</v>
      </c>
      <c r="B1276" s="2">
        <v>233.1</v>
      </c>
      <c r="C1276" s="2">
        <v>437.8</v>
      </c>
      <c r="D1276" s="2">
        <v>2.57</v>
      </c>
      <c r="E1276" s="2">
        <v>0.96</v>
      </c>
      <c r="F1276" s="2">
        <v>50.0</v>
      </c>
      <c r="G1276" s="4">
        <v>44460.91359423611</v>
      </c>
      <c r="H1276" s="8">
        <v>44460.0</v>
      </c>
    </row>
    <row r="1277">
      <c r="A1277" s="2">
        <v>3.28</v>
      </c>
      <c r="B1277" s="2">
        <v>233.1</v>
      </c>
      <c r="C1277" s="2">
        <v>743.3</v>
      </c>
      <c r="D1277" s="2">
        <v>2.57</v>
      </c>
      <c r="E1277" s="2">
        <v>0.97</v>
      </c>
      <c r="F1277" s="2">
        <v>50.0</v>
      </c>
      <c r="G1277" s="4">
        <v>44460.913703252314</v>
      </c>
      <c r="H1277" s="8">
        <v>44460.0</v>
      </c>
    </row>
    <row r="1278">
      <c r="A1278" s="2">
        <v>3.29</v>
      </c>
      <c r="B1278" s="2">
        <v>232.3</v>
      </c>
      <c r="C1278" s="2">
        <v>743.8</v>
      </c>
      <c r="D1278" s="2">
        <v>2.57</v>
      </c>
      <c r="E1278" s="2">
        <v>0.97</v>
      </c>
      <c r="F1278" s="2">
        <v>49.9</v>
      </c>
      <c r="G1278" s="4">
        <v>44460.913802800926</v>
      </c>
      <c r="H1278" s="8">
        <v>44460.0</v>
      </c>
    </row>
    <row r="1279">
      <c r="A1279" s="2">
        <v>3.05</v>
      </c>
      <c r="B1279" s="2">
        <v>232.1</v>
      </c>
      <c r="C1279" s="2">
        <v>689.4</v>
      </c>
      <c r="D1279" s="2">
        <v>2.58</v>
      </c>
      <c r="E1279" s="2">
        <v>0.98</v>
      </c>
      <c r="F1279" s="2">
        <v>49.9</v>
      </c>
      <c r="G1279" s="4">
        <v>44460.91397412037</v>
      </c>
      <c r="H1279" s="8">
        <v>44460.0</v>
      </c>
    </row>
    <row r="1280">
      <c r="A1280" s="2">
        <v>2.48</v>
      </c>
      <c r="B1280" s="2">
        <v>232.5</v>
      </c>
      <c r="C1280" s="2">
        <v>559.1</v>
      </c>
      <c r="D1280" s="2">
        <v>2.58</v>
      </c>
      <c r="E1280" s="2">
        <v>0.97</v>
      </c>
      <c r="F1280" s="2">
        <v>50.0</v>
      </c>
      <c r="G1280" s="4">
        <v>44460.91408462963</v>
      </c>
      <c r="H1280" s="8">
        <v>44460.0</v>
      </c>
    </row>
    <row r="1281">
      <c r="A1281" s="2">
        <v>2.14</v>
      </c>
      <c r="B1281" s="2">
        <v>232.7</v>
      </c>
      <c r="C1281" s="2">
        <v>476.9</v>
      </c>
      <c r="D1281" s="2">
        <v>2.58</v>
      </c>
      <c r="E1281" s="2">
        <v>0.96</v>
      </c>
      <c r="F1281" s="2">
        <v>49.9</v>
      </c>
      <c r="G1281" s="4">
        <v>44460.91418122685</v>
      </c>
      <c r="H1281" s="8">
        <v>44460.0</v>
      </c>
    </row>
    <row r="1282">
      <c r="A1282" s="2">
        <v>2.14</v>
      </c>
      <c r="B1282" s="2">
        <v>232.7</v>
      </c>
      <c r="C1282" s="2">
        <v>478.3</v>
      </c>
      <c r="D1282" s="2">
        <v>2.58</v>
      </c>
      <c r="E1282" s="2">
        <v>0.96</v>
      </c>
      <c r="F1282" s="2">
        <v>50.0</v>
      </c>
      <c r="G1282" s="4">
        <v>44460.91427894676</v>
      </c>
      <c r="H1282" s="8">
        <v>44460.0</v>
      </c>
    </row>
    <row r="1283">
      <c r="A1283" s="2">
        <v>2.14</v>
      </c>
      <c r="B1283" s="2">
        <v>232.8</v>
      </c>
      <c r="C1283" s="2">
        <v>478.3</v>
      </c>
      <c r="D1283" s="2">
        <v>2.58</v>
      </c>
      <c r="E1283" s="2">
        <v>0.96</v>
      </c>
      <c r="F1283" s="2">
        <v>50.0</v>
      </c>
      <c r="G1283" s="4">
        <v>44460.91437907408</v>
      </c>
      <c r="H1283" s="8">
        <v>44460.0</v>
      </c>
    </row>
    <row r="1284">
      <c r="A1284" s="2">
        <v>2.13</v>
      </c>
      <c r="B1284" s="2">
        <v>232.8</v>
      </c>
      <c r="C1284" s="2">
        <v>477.0</v>
      </c>
      <c r="D1284" s="2">
        <v>2.58</v>
      </c>
      <c r="E1284" s="2">
        <v>0.96</v>
      </c>
      <c r="F1284" s="2">
        <v>50.0</v>
      </c>
      <c r="G1284" s="4">
        <v>44460.91448186342</v>
      </c>
      <c r="H1284" s="8">
        <v>44460.0</v>
      </c>
    </row>
    <row r="1285">
      <c r="A1285" s="2">
        <v>2.12</v>
      </c>
      <c r="B1285" s="2">
        <v>232.9</v>
      </c>
      <c r="C1285" s="2">
        <v>474.7</v>
      </c>
      <c r="D1285" s="2">
        <v>2.58</v>
      </c>
      <c r="E1285" s="2">
        <v>0.96</v>
      </c>
      <c r="F1285" s="2">
        <v>50.0</v>
      </c>
      <c r="G1285" s="4">
        <v>44460.914622951386</v>
      </c>
      <c r="H1285" s="8">
        <v>44460.0</v>
      </c>
    </row>
    <row r="1286">
      <c r="A1286" s="2">
        <v>2.12</v>
      </c>
      <c r="B1286" s="2">
        <v>232.9</v>
      </c>
      <c r="C1286" s="2">
        <v>472.5</v>
      </c>
      <c r="D1286" s="2">
        <v>2.59</v>
      </c>
      <c r="E1286" s="2">
        <v>0.96</v>
      </c>
      <c r="F1286" s="2">
        <v>50.0</v>
      </c>
      <c r="G1286" s="4">
        <v>44460.91472605324</v>
      </c>
      <c r="H1286" s="8">
        <v>44460.0</v>
      </c>
    </row>
    <row r="1287">
      <c r="A1287" s="2">
        <v>2.1</v>
      </c>
      <c r="B1287" s="2">
        <v>232.9</v>
      </c>
      <c r="C1287" s="2">
        <v>469.9</v>
      </c>
      <c r="D1287" s="2">
        <v>2.59</v>
      </c>
      <c r="E1287" s="2">
        <v>0.96</v>
      </c>
      <c r="F1287" s="2">
        <v>50.0</v>
      </c>
      <c r="G1287" s="4">
        <v>44460.91482607639</v>
      </c>
      <c r="H1287" s="8">
        <v>44460.0</v>
      </c>
    </row>
    <row r="1288">
      <c r="A1288" s="2">
        <v>2.1</v>
      </c>
      <c r="B1288" s="2">
        <v>232.7</v>
      </c>
      <c r="C1288" s="2">
        <v>468.2</v>
      </c>
      <c r="D1288" s="2">
        <v>2.59</v>
      </c>
      <c r="E1288" s="2">
        <v>0.96</v>
      </c>
      <c r="F1288" s="2">
        <v>50.0</v>
      </c>
      <c r="G1288" s="4">
        <v>44460.91493028935</v>
      </c>
      <c r="H1288" s="8">
        <v>44460.0</v>
      </c>
    </row>
    <row r="1289">
      <c r="A1289" s="2">
        <v>2.08</v>
      </c>
      <c r="B1289" s="2">
        <v>232.8</v>
      </c>
      <c r="C1289" s="2">
        <v>465.0</v>
      </c>
      <c r="D1289" s="2">
        <v>2.59</v>
      </c>
      <c r="E1289" s="2">
        <v>0.96</v>
      </c>
      <c r="F1289" s="2">
        <v>50.0</v>
      </c>
      <c r="G1289" s="4">
        <v>44460.91503103009</v>
      </c>
      <c r="H1289" s="8">
        <v>44460.0</v>
      </c>
    </row>
    <row r="1290">
      <c r="A1290" s="2">
        <v>2.07</v>
      </c>
      <c r="B1290" s="2">
        <v>232.8</v>
      </c>
      <c r="C1290" s="2">
        <v>462.5</v>
      </c>
      <c r="D1290" s="2">
        <v>2.59</v>
      </c>
      <c r="E1290" s="2">
        <v>0.96</v>
      </c>
      <c r="F1290" s="2">
        <v>50.0</v>
      </c>
      <c r="G1290" s="4">
        <v>44460.915140833335</v>
      </c>
      <c r="H1290" s="8">
        <v>44460.0</v>
      </c>
    </row>
    <row r="1291">
      <c r="A1291" s="2">
        <v>2.06</v>
      </c>
      <c r="B1291" s="2">
        <v>232.8</v>
      </c>
      <c r="C1291" s="2">
        <v>459.5</v>
      </c>
      <c r="D1291" s="2">
        <v>2.59</v>
      </c>
      <c r="E1291" s="2">
        <v>0.96</v>
      </c>
      <c r="F1291" s="2">
        <v>50.0</v>
      </c>
      <c r="G1291" s="4">
        <v>44460.915246122684</v>
      </c>
      <c r="H1291" s="8">
        <v>44460.0</v>
      </c>
    </row>
    <row r="1292">
      <c r="A1292" s="2">
        <v>2.05</v>
      </c>
      <c r="B1292" s="2">
        <v>232.7</v>
      </c>
      <c r="C1292" s="2">
        <v>456.0</v>
      </c>
      <c r="D1292" s="2">
        <v>2.59</v>
      </c>
      <c r="E1292" s="2">
        <v>0.96</v>
      </c>
      <c r="F1292" s="2">
        <v>50.0</v>
      </c>
      <c r="G1292" s="4">
        <v>44460.91538755787</v>
      </c>
      <c r="H1292" s="8">
        <v>44460.0</v>
      </c>
    </row>
    <row r="1293">
      <c r="A1293" s="2">
        <v>2.04</v>
      </c>
      <c r="B1293" s="2">
        <v>232.6</v>
      </c>
      <c r="C1293" s="2">
        <v>453.9</v>
      </c>
      <c r="D1293" s="2">
        <v>2.59</v>
      </c>
      <c r="E1293" s="2">
        <v>0.96</v>
      </c>
      <c r="F1293" s="2">
        <v>50.0</v>
      </c>
      <c r="G1293" s="4">
        <v>44460.91549306713</v>
      </c>
      <c r="H1293" s="8">
        <v>44460.0</v>
      </c>
    </row>
    <row r="1294">
      <c r="A1294" s="2">
        <v>2.02</v>
      </c>
      <c r="B1294" s="2">
        <v>232.6</v>
      </c>
      <c r="C1294" s="2">
        <v>450.7</v>
      </c>
      <c r="D1294" s="2">
        <v>2.6</v>
      </c>
      <c r="E1294" s="2">
        <v>0.96</v>
      </c>
      <c r="F1294" s="2">
        <v>49.9</v>
      </c>
      <c r="G1294" s="4">
        <v>44460.91560153935</v>
      </c>
      <c r="H1294" s="8">
        <v>44460.0</v>
      </c>
    </row>
    <row r="1295">
      <c r="A1295" s="2">
        <v>2.01</v>
      </c>
      <c r="B1295" s="2">
        <v>232.7</v>
      </c>
      <c r="C1295" s="2">
        <v>447.7</v>
      </c>
      <c r="D1295" s="2">
        <v>2.6</v>
      </c>
      <c r="E1295" s="2">
        <v>0.96</v>
      </c>
      <c r="F1295" s="2">
        <v>50.0</v>
      </c>
      <c r="G1295" s="4">
        <v>44460.915706238426</v>
      </c>
      <c r="H1295" s="8">
        <v>44460.0</v>
      </c>
    </row>
    <row r="1296">
      <c r="A1296" s="2">
        <v>2.0</v>
      </c>
      <c r="B1296" s="2">
        <v>231.8</v>
      </c>
      <c r="C1296" s="2">
        <v>444.6</v>
      </c>
      <c r="D1296" s="2">
        <v>2.6</v>
      </c>
      <c r="E1296" s="2">
        <v>0.96</v>
      </c>
      <c r="F1296" s="2">
        <v>50.0</v>
      </c>
      <c r="G1296" s="4">
        <v>44460.915810879625</v>
      </c>
      <c r="H1296" s="8">
        <v>44460.0</v>
      </c>
    </row>
    <row r="1297">
      <c r="A1297" s="2">
        <v>2.0</v>
      </c>
      <c r="B1297" s="2">
        <v>231.9</v>
      </c>
      <c r="C1297" s="2">
        <v>442.8</v>
      </c>
      <c r="D1297" s="2">
        <v>2.6</v>
      </c>
      <c r="E1297" s="2">
        <v>0.96</v>
      </c>
      <c r="F1297" s="2">
        <v>50.0</v>
      </c>
      <c r="G1297" s="4">
        <v>44460.91591414352</v>
      </c>
      <c r="H1297" s="8">
        <v>44460.0</v>
      </c>
    </row>
    <row r="1298">
      <c r="A1298" s="2">
        <v>1.98</v>
      </c>
      <c r="B1298" s="2">
        <v>232.1</v>
      </c>
      <c r="C1298" s="2">
        <v>439.7</v>
      </c>
      <c r="D1298" s="2">
        <v>2.6</v>
      </c>
      <c r="E1298" s="2">
        <v>0.96</v>
      </c>
      <c r="F1298" s="2">
        <v>50.0</v>
      </c>
      <c r="G1298" s="4">
        <v>44460.91602128472</v>
      </c>
      <c r="H1298" s="8">
        <v>44460.0</v>
      </c>
    </row>
    <row r="1299">
      <c r="A1299" s="2">
        <v>1.97</v>
      </c>
      <c r="B1299" s="2">
        <v>232.1</v>
      </c>
      <c r="C1299" s="2">
        <v>437.3</v>
      </c>
      <c r="D1299" s="2">
        <v>2.6</v>
      </c>
      <c r="E1299" s="2">
        <v>0.96</v>
      </c>
      <c r="F1299" s="2">
        <v>50.0</v>
      </c>
      <c r="G1299" s="4">
        <v>44460.916122546296</v>
      </c>
      <c r="H1299" s="8">
        <v>44460.0</v>
      </c>
    </row>
    <row r="1300">
      <c r="A1300" s="2">
        <v>1.96</v>
      </c>
      <c r="B1300" s="2">
        <v>231.8</v>
      </c>
      <c r="C1300" s="2">
        <v>434.3</v>
      </c>
      <c r="D1300" s="2">
        <v>2.6</v>
      </c>
      <c r="E1300" s="2">
        <v>0.96</v>
      </c>
      <c r="F1300" s="2">
        <v>50.0</v>
      </c>
      <c r="G1300" s="4">
        <v>44460.91623133102</v>
      </c>
      <c r="H1300" s="8">
        <v>44460.0</v>
      </c>
    </row>
    <row r="1301">
      <c r="A1301" s="2">
        <v>1.95</v>
      </c>
      <c r="B1301" s="2">
        <v>231.9</v>
      </c>
      <c r="C1301" s="2">
        <v>431.8</v>
      </c>
      <c r="D1301" s="2">
        <v>2.6</v>
      </c>
      <c r="E1301" s="2">
        <v>0.96</v>
      </c>
      <c r="F1301" s="2">
        <v>50.0</v>
      </c>
      <c r="G1301" s="4">
        <v>44460.91633162037</v>
      </c>
      <c r="H1301" s="8">
        <v>44460.0</v>
      </c>
    </row>
    <row r="1302">
      <c r="A1302" s="2">
        <v>1.94</v>
      </c>
      <c r="B1302" s="2">
        <v>232.0</v>
      </c>
      <c r="C1302" s="2">
        <v>430.0</v>
      </c>
      <c r="D1302" s="2">
        <v>2.6</v>
      </c>
      <c r="E1302" s="2">
        <v>0.96</v>
      </c>
      <c r="F1302" s="2">
        <v>50.0</v>
      </c>
      <c r="G1302" s="4">
        <v>44460.916432604165</v>
      </c>
      <c r="H1302" s="8">
        <v>44460.0</v>
      </c>
    </row>
    <row r="1303">
      <c r="A1303" s="2">
        <v>1.93</v>
      </c>
      <c r="B1303" s="2">
        <v>231.9</v>
      </c>
      <c r="C1303" s="2">
        <v>426.6</v>
      </c>
      <c r="D1303" s="2">
        <v>2.61</v>
      </c>
      <c r="E1303" s="2">
        <v>0.96</v>
      </c>
      <c r="F1303" s="2">
        <v>50.0</v>
      </c>
      <c r="G1303" s="4">
        <v>44460.916534918986</v>
      </c>
      <c r="H1303" s="8">
        <v>44460.0</v>
      </c>
    </row>
    <row r="1304">
      <c r="A1304" s="2">
        <v>1.92</v>
      </c>
      <c r="B1304" s="2">
        <v>231.9</v>
      </c>
      <c r="C1304" s="2">
        <v>424.6</v>
      </c>
      <c r="D1304" s="2">
        <v>2.61</v>
      </c>
      <c r="E1304" s="2">
        <v>0.96</v>
      </c>
      <c r="F1304" s="2">
        <v>50.0</v>
      </c>
      <c r="G1304" s="4">
        <v>44460.91663219908</v>
      </c>
      <c r="H1304" s="8">
        <v>44460.0</v>
      </c>
    </row>
    <row r="1305">
      <c r="A1305" s="2">
        <v>1.91</v>
      </c>
      <c r="B1305" s="2">
        <v>231.8</v>
      </c>
      <c r="C1305" s="2">
        <v>422.3</v>
      </c>
      <c r="D1305" s="2">
        <v>2.61</v>
      </c>
      <c r="E1305" s="2">
        <v>0.95</v>
      </c>
      <c r="F1305" s="2">
        <v>50.0</v>
      </c>
      <c r="G1305" s="4">
        <v>44460.916733645834</v>
      </c>
      <c r="H1305" s="8">
        <v>44460.0</v>
      </c>
    </row>
    <row r="1306">
      <c r="A1306" s="2">
        <v>1.9</v>
      </c>
      <c r="B1306" s="2">
        <v>231.6</v>
      </c>
      <c r="C1306" s="2">
        <v>419.1</v>
      </c>
      <c r="D1306" s="2">
        <v>2.61</v>
      </c>
      <c r="E1306" s="2">
        <v>0.95</v>
      </c>
      <c r="F1306" s="2">
        <v>50.0</v>
      </c>
      <c r="G1306" s="4">
        <v>44460.91683671296</v>
      </c>
      <c r="H1306" s="8">
        <v>44460.0</v>
      </c>
    </row>
    <row r="1307">
      <c r="A1307" s="2">
        <v>1.88</v>
      </c>
      <c r="B1307" s="2">
        <v>231.8</v>
      </c>
      <c r="C1307" s="2">
        <v>416.9</v>
      </c>
      <c r="D1307" s="2">
        <v>2.61</v>
      </c>
      <c r="E1307" s="2">
        <v>0.95</v>
      </c>
      <c r="F1307" s="2">
        <v>49.9</v>
      </c>
      <c r="G1307" s="4">
        <v>44460.916938622686</v>
      </c>
      <c r="H1307" s="8">
        <v>44460.0</v>
      </c>
    </row>
    <row r="1308">
      <c r="A1308" s="2">
        <v>1.87</v>
      </c>
      <c r="B1308" s="2">
        <v>231.8</v>
      </c>
      <c r="C1308" s="2">
        <v>414.0</v>
      </c>
      <c r="D1308" s="2">
        <v>2.61</v>
      </c>
      <c r="E1308" s="2">
        <v>0.95</v>
      </c>
      <c r="F1308" s="2">
        <v>49.9</v>
      </c>
      <c r="G1308" s="4">
        <v>44460.9170418287</v>
      </c>
      <c r="H1308" s="8">
        <v>44460.0</v>
      </c>
    </row>
    <row r="1309">
      <c r="A1309" s="2">
        <v>1.86</v>
      </c>
      <c r="B1309" s="2">
        <v>231.8</v>
      </c>
      <c r="C1309" s="2">
        <v>411.6</v>
      </c>
      <c r="D1309" s="2">
        <v>2.61</v>
      </c>
      <c r="E1309" s="2">
        <v>0.95</v>
      </c>
      <c r="F1309" s="2">
        <v>49.9</v>
      </c>
      <c r="G1309" s="4">
        <v>44460.917162025464</v>
      </c>
      <c r="H1309" s="8">
        <v>44460.0</v>
      </c>
    </row>
    <row r="1310">
      <c r="A1310" s="2">
        <v>1.85</v>
      </c>
      <c r="B1310" s="2">
        <v>231.8</v>
      </c>
      <c r="C1310" s="2">
        <v>409.3</v>
      </c>
      <c r="D1310" s="2">
        <v>2.61</v>
      </c>
      <c r="E1310" s="2">
        <v>0.95</v>
      </c>
      <c r="F1310" s="2">
        <v>49.9</v>
      </c>
      <c r="G1310" s="4">
        <v>44460.91726298611</v>
      </c>
      <c r="H1310" s="8">
        <v>44460.0</v>
      </c>
    </row>
    <row r="1311">
      <c r="A1311" s="2">
        <v>1.84</v>
      </c>
      <c r="B1311" s="2">
        <v>231.8</v>
      </c>
      <c r="C1311" s="2">
        <v>406.9</v>
      </c>
      <c r="D1311" s="2">
        <v>2.61</v>
      </c>
      <c r="E1311" s="2">
        <v>0.95</v>
      </c>
      <c r="F1311" s="2">
        <v>49.9</v>
      </c>
      <c r="G1311" s="4">
        <v>44460.91736465278</v>
      </c>
      <c r="H1311" s="8">
        <v>44460.0</v>
      </c>
    </row>
    <row r="1312">
      <c r="A1312" s="2">
        <v>1.83</v>
      </c>
      <c r="B1312" s="2">
        <v>232.0</v>
      </c>
      <c r="C1312" s="2">
        <v>404.5</v>
      </c>
      <c r="D1312" s="2">
        <v>2.61</v>
      </c>
      <c r="E1312" s="2">
        <v>0.95</v>
      </c>
      <c r="F1312" s="2">
        <v>50.0</v>
      </c>
      <c r="G1312" s="4">
        <v>44460.91747107639</v>
      </c>
      <c r="H1312" s="8">
        <v>44460.0</v>
      </c>
    </row>
    <row r="1313">
      <c r="A1313" s="2">
        <v>1.82</v>
      </c>
      <c r="B1313" s="2">
        <v>232.1</v>
      </c>
      <c r="C1313" s="2">
        <v>402.0</v>
      </c>
      <c r="D1313" s="2">
        <v>2.62</v>
      </c>
      <c r="E1313" s="2">
        <v>0.95</v>
      </c>
      <c r="F1313" s="2">
        <v>50.0</v>
      </c>
      <c r="G1313" s="4">
        <v>44460.917568379635</v>
      </c>
      <c r="H1313" s="8">
        <v>44460.0</v>
      </c>
    </row>
    <row r="1314">
      <c r="A1314" s="2">
        <v>1.81</v>
      </c>
      <c r="B1314" s="2">
        <v>232.1</v>
      </c>
      <c r="C1314" s="2">
        <v>399.4</v>
      </c>
      <c r="D1314" s="2">
        <v>2.62</v>
      </c>
      <c r="E1314" s="2">
        <v>0.95</v>
      </c>
      <c r="F1314" s="2">
        <v>50.0</v>
      </c>
      <c r="G1314" s="4">
        <v>44460.91767083333</v>
      </c>
      <c r="H1314" s="8">
        <v>44460.0</v>
      </c>
    </row>
    <row r="1315">
      <c r="A1315" s="2">
        <v>1.8</v>
      </c>
      <c r="B1315" s="2">
        <v>232.1</v>
      </c>
      <c r="C1315" s="2">
        <v>397.1</v>
      </c>
      <c r="D1315" s="2">
        <v>2.62</v>
      </c>
      <c r="E1315" s="2">
        <v>0.95</v>
      </c>
      <c r="F1315" s="2">
        <v>49.9</v>
      </c>
      <c r="G1315" s="4">
        <v>44460.91777302083</v>
      </c>
      <c r="H1315" s="8">
        <v>44460.0</v>
      </c>
    </row>
    <row r="1316">
      <c r="A1316" s="2">
        <v>1.79</v>
      </c>
      <c r="B1316" s="2">
        <v>232.2</v>
      </c>
      <c r="C1316" s="2">
        <v>394.1</v>
      </c>
      <c r="D1316" s="2">
        <v>2.62</v>
      </c>
      <c r="E1316" s="2">
        <v>0.95</v>
      </c>
      <c r="F1316" s="2">
        <v>50.0</v>
      </c>
      <c r="G1316" s="4">
        <v>44460.917878437496</v>
      </c>
      <c r="H1316" s="8">
        <v>44460.0</v>
      </c>
    </row>
    <row r="1317">
      <c r="A1317" s="2">
        <v>1.39</v>
      </c>
      <c r="B1317" s="2">
        <v>232.5</v>
      </c>
      <c r="C1317" s="2">
        <v>299.0</v>
      </c>
      <c r="D1317" s="2">
        <v>2.62</v>
      </c>
      <c r="E1317" s="2">
        <v>0.93</v>
      </c>
      <c r="F1317" s="2">
        <v>49.9</v>
      </c>
      <c r="G1317" s="4">
        <v>44460.9179821412</v>
      </c>
      <c r="H1317" s="8">
        <v>44460.0</v>
      </c>
    </row>
    <row r="1318">
      <c r="A1318" s="2">
        <v>1.41</v>
      </c>
      <c r="B1318" s="2">
        <v>232.4</v>
      </c>
      <c r="C1318" s="2">
        <v>303.6</v>
      </c>
      <c r="D1318" s="2">
        <v>2.62</v>
      </c>
      <c r="E1318" s="2">
        <v>0.93</v>
      </c>
      <c r="F1318" s="2">
        <v>49.9</v>
      </c>
      <c r="G1318" s="4">
        <v>44460.918082766206</v>
      </c>
      <c r="H1318" s="8">
        <v>44460.0</v>
      </c>
    </row>
    <row r="1319">
      <c r="A1319" s="2">
        <v>1.41</v>
      </c>
      <c r="B1319" s="2">
        <v>232.5</v>
      </c>
      <c r="C1319" s="2">
        <v>304.4</v>
      </c>
      <c r="D1319" s="2">
        <v>2.62</v>
      </c>
      <c r="E1319" s="2">
        <v>0.93</v>
      </c>
      <c r="F1319" s="2">
        <v>49.9</v>
      </c>
      <c r="G1319" s="4">
        <v>44460.918191840276</v>
      </c>
      <c r="H1319" s="8">
        <v>44460.0</v>
      </c>
    </row>
    <row r="1320">
      <c r="A1320" s="2">
        <v>1.41</v>
      </c>
      <c r="B1320" s="2">
        <v>232.6</v>
      </c>
      <c r="C1320" s="2">
        <v>305.1</v>
      </c>
      <c r="D1320" s="2">
        <v>2.62</v>
      </c>
      <c r="E1320" s="2">
        <v>0.93</v>
      </c>
      <c r="F1320" s="2">
        <v>50.0</v>
      </c>
      <c r="G1320" s="4">
        <v>44460.918300115736</v>
      </c>
      <c r="H1320" s="8">
        <v>44460.0</v>
      </c>
    </row>
    <row r="1321">
      <c r="A1321" s="2">
        <v>1.42</v>
      </c>
      <c r="B1321" s="2">
        <v>232.5</v>
      </c>
      <c r="C1321" s="2">
        <v>305.5</v>
      </c>
      <c r="D1321" s="2">
        <v>2.62</v>
      </c>
      <c r="E1321" s="2">
        <v>0.93</v>
      </c>
      <c r="F1321" s="2">
        <v>50.0</v>
      </c>
      <c r="G1321" s="4">
        <v>44460.91840834491</v>
      </c>
      <c r="H1321" s="8">
        <v>44460.0</v>
      </c>
    </row>
    <row r="1322">
      <c r="A1322" s="2">
        <v>1.41</v>
      </c>
      <c r="B1322" s="2">
        <v>232.5</v>
      </c>
      <c r="C1322" s="2">
        <v>304.7</v>
      </c>
      <c r="D1322" s="2">
        <v>2.62</v>
      </c>
      <c r="E1322" s="2">
        <v>0.93</v>
      </c>
      <c r="F1322" s="2">
        <v>49.9</v>
      </c>
      <c r="G1322" s="4">
        <v>44460.918513854165</v>
      </c>
      <c r="H1322" s="8">
        <v>44460.0</v>
      </c>
    </row>
    <row r="1323">
      <c r="A1323" s="2">
        <v>1.41</v>
      </c>
      <c r="B1323" s="2">
        <v>232.4</v>
      </c>
      <c r="C1323" s="2">
        <v>304.3</v>
      </c>
      <c r="D1323" s="2">
        <v>2.62</v>
      </c>
      <c r="E1323" s="2">
        <v>0.93</v>
      </c>
      <c r="F1323" s="2">
        <v>49.9</v>
      </c>
      <c r="G1323" s="4">
        <v>44460.918620868055</v>
      </c>
      <c r="H1323" s="8">
        <v>44460.0</v>
      </c>
    </row>
    <row r="1324">
      <c r="A1324" s="2">
        <v>1.41</v>
      </c>
      <c r="B1324" s="2">
        <v>232.5</v>
      </c>
      <c r="C1324" s="2">
        <v>303.0</v>
      </c>
      <c r="D1324" s="2">
        <v>2.62</v>
      </c>
      <c r="E1324" s="2">
        <v>0.93</v>
      </c>
      <c r="F1324" s="2">
        <v>49.9</v>
      </c>
      <c r="G1324" s="4">
        <v>44460.918727199074</v>
      </c>
      <c r="H1324" s="8">
        <v>44460.0</v>
      </c>
    </row>
    <row r="1325">
      <c r="A1325" s="2">
        <v>1.4</v>
      </c>
      <c r="B1325" s="2">
        <v>232.5</v>
      </c>
      <c r="C1325" s="2">
        <v>302.3</v>
      </c>
      <c r="D1325" s="2">
        <v>2.63</v>
      </c>
      <c r="E1325" s="2">
        <v>0.93</v>
      </c>
      <c r="F1325" s="2">
        <v>49.9</v>
      </c>
      <c r="G1325" s="4">
        <v>44460.91883430556</v>
      </c>
      <c r="H1325" s="8">
        <v>44460.0</v>
      </c>
    </row>
    <row r="1326">
      <c r="A1326" s="2">
        <v>1.4</v>
      </c>
      <c r="B1326" s="2">
        <v>232.6</v>
      </c>
      <c r="C1326" s="2">
        <v>301.1</v>
      </c>
      <c r="D1326" s="2">
        <v>2.63</v>
      </c>
      <c r="E1326" s="2">
        <v>0.93</v>
      </c>
      <c r="F1326" s="2">
        <v>50.0</v>
      </c>
      <c r="G1326" s="4">
        <v>44460.91894458333</v>
      </c>
      <c r="H1326" s="8">
        <v>44460.0</v>
      </c>
    </row>
    <row r="1327">
      <c r="A1327" s="2">
        <v>1.39</v>
      </c>
      <c r="B1327" s="2">
        <v>232.5</v>
      </c>
      <c r="C1327" s="2">
        <v>300.2</v>
      </c>
      <c r="D1327" s="2">
        <v>2.63</v>
      </c>
      <c r="E1327" s="2">
        <v>0.93</v>
      </c>
      <c r="F1327" s="2">
        <v>49.9</v>
      </c>
      <c r="G1327" s="4">
        <v>44460.919059374995</v>
      </c>
      <c r="H1327" s="8">
        <v>44460.0</v>
      </c>
    </row>
    <row r="1328">
      <c r="A1328" s="2">
        <v>1.39</v>
      </c>
      <c r="B1328" s="2">
        <v>232.7</v>
      </c>
      <c r="C1328" s="2">
        <v>299.0</v>
      </c>
      <c r="D1328" s="2">
        <v>2.63</v>
      </c>
      <c r="E1328" s="2">
        <v>0.93</v>
      </c>
      <c r="F1328" s="2">
        <v>50.0</v>
      </c>
      <c r="G1328" s="4">
        <v>44460.91916346065</v>
      </c>
      <c r="H1328" s="8">
        <v>44460.0</v>
      </c>
    </row>
    <row r="1329">
      <c r="A1329" s="2">
        <v>1.38</v>
      </c>
      <c r="B1329" s="2">
        <v>232.8</v>
      </c>
      <c r="C1329" s="2">
        <v>297.5</v>
      </c>
      <c r="D1329" s="2">
        <v>2.63</v>
      </c>
      <c r="E1329" s="2">
        <v>0.92</v>
      </c>
      <c r="F1329" s="2">
        <v>50.0</v>
      </c>
      <c r="G1329" s="4">
        <v>44460.91926202546</v>
      </c>
      <c r="H1329" s="8">
        <v>44460.0</v>
      </c>
    </row>
    <row r="1330">
      <c r="A1330" s="2">
        <v>1.38</v>
      </c>
      <c r="B1330" s="2">
        <v>232.9</v>
      </c>
      <c r="C1330" s="2">
        <v>296.4</v>
      </c>
      <c r="D1330" s="2">
        <v>2.63</v>
      </c>
      <c r="E1330" s="2">
        <v>0.92</v>
      </c>
      <c r="F1330" s="2">
        <v>50.0</v>
      </c>
      <c r="G1330" s="4">
        <v>44460.91937083333</v>
      </c>
      <c r="H1330" s="8">
        <v>44460.0</v>
      </c>
    </row>
    <row r="1331">
      <c r="A1331" s="2">
        <v>1.37</v>
      </c>
      <c r="B1331" s="2">
        <v>232.8</v>
      </c>
      <c r="C1331" s="2">
        <v>294.6</v>
      </c>
      <c r="D1331" s="2">
        <v>2.63</v>
      </c>
      <c r="E1331" s="2">
        <v>0.92</v>
      </c>
      <c r="F1331" s="2">
        <v>50.0</v>
      </c>
      <c r="G1331" s="4">
        <v>44460.9194727662</v>
      </c>
      <c r="H1331" s="8">
        <v>44460.0</v>
      </c>
    </row>
    <row r="1332">
      <c r="A1332" s="2">
        <v>1.37</v>
      </c>
      <c r="B1332" s="2">
        <v>232.9</v>
      </c>
      <c r="C1332" s="2">
        <v>294.1</v>
      </c>
      <c r="D1332" s="2">
        <v>2.63</v>
      </c>
      <c r="E1332" s="2">
        <v>0.92</v>
      </c>
      <c r="F1332" s="2">
        <v>50.0</v>
      </c>
      <c r="G1332" s="4">
        <v>44460.91957592593</v>
      </c>
      <c r="H1332" s="8">
        <v>44460.0</v>
      </c>
    </row>
    <row r="1333">
      <c r="A1333" s="2">
        <v>1.36</v>
      </c>
      <c r="B1333" s="2">
        <v>232.7</v>
      </c>
      <c r="C1333" s="2">
        <v>292.6</v>
      </c>
      <c r="D1333" s="2">
        <v>2.63</v>
      </c>
      <c r="E1333" s="2">
        <v>0.92</v>
      </c>
      <c r="F1333" s="2">
        <v>49.9</v>
      </c>
      <c r="G1333" s="4">
        <v>44460.919678136575</v>
      </c>
      <c r="H1333" s="8">
        <v>44460.0</v>
      </c>
    </row>
    <row r="1334">
      <c r="A1334" s="2">
        <v>1.36</v>
      </c>
      <c r="B1334" s="2">
        <v>232.7</v>
      </c>
      <c r="C1334" s="2">
        <v>291.3</v>
      </c>
      <c r="D1334" s="2">
        <v>2.63</v>
      </c>
      <c r="E1334" s="2">
        <v>0.92</v>
      </c>
      <c r="F1334" s="2">
        <v>49.9</v>
      </c>
      <c r="G1334" s="4">
        <v>44460.91977861111</v>
      </c>
      <c r="H1334" s="8">
        <v>44460.0</v>
      </c>
    </row>
    <row r="1335">
      <c r="A1335" s="2">
        <v>1.35</v>
      </c>
      <c r="B1335" s="2">
        <v>232.8</v>
      </c>
      <c r="C1335" s="2">
        <v>290.2</v>
      </c>
      <c r="D1335" s="2">
        <v>2.63</v>
      </c>
      <c r="E1335" s="2">
        <v>0.92</v>
      </c>
      <c r="F1335" s="2">
        <v>49.9</v>
      </c>
      <c r="G1335" s="4">
        <v>44460.91988291667</v>
      </c>
      <c r="H1335" s="8">
        <v>44460.0</v>
      </c>
    </row>
    <row r="1336">
      <c r="A1336" s="2">
        <v>1.34</v>
      </c>
      <c r="B1336" s="2">
        <v>232.6</v>
      </c>
      <c r="C1336" s="2">
        <v>288.2</v>
      </c>
      <c r="D1336" s="2">
        <v>2.63</v>
      </c>
      <c r="E1336" s="2">
        <v>0.92</v>
      </c>
      <c r="F1336" s="2">
        <v>49.9</v>
      </c>
      <c r="G1336" s="4">
        <v>44460.9199952662</v>
      </c>
      <c r="H1336" s="8">
        <v>44460.0</v>
      </c>
    </row>
    <row r="1337">
      <c r="A1337" s="2">
        <v>1.34</v>
      </c>
      <c r="B1337" s="2">
        <v>232.7</v>
      </c>
      <c r="C1337" s="2">
        <v>287.5</v>
      </c>
      <c r="D1337" s="2">
        <v>2.63</v>
      </c>
      <c r="E1337" s="2">
        <v>0.92</v>
      </c>
      <c r="F1337" s="2">
        <v>49.9</v>
      </c>
      <c r="G1337" s="4">
        <v>44460.92010173611</v>
      </c>
      <c r="H1337" s="8">
        <v>44460.0</v>
      </c>
    </row>
    <row r="1338">
      <c r="A1338" s="2">
        <v>1.34</v>
      </c>
      <c r="B1338" s="2">
        <v>232.6</v>
      </c>
      <c r="C1338" s="2">
        <v>286.2</v>
      </c>
      <c r="D1338" s="2">
        <v>2.63</v>
      </c>
      <c r="E1338" s="2">
        <v>0.92</v>
      </c>
      <c r="F1338" s="2">
        <v>49.9</v>
      </c>
      <c r="G1338" s="4">
        <v>44460.92020811343</v>
      </c>
      <c r="H1338" s="8">
        <v>44460.0</v>
      </c>
    </row>
    <row r="1339">
      <c r="A1339" s="2">
        <v>1.51</v>
      </c>
      <c r="B1339" s="2">
        <v>232.6</v>
      </c>
      <c r="C1339" s="2">
        <v>328.8</v>
      </c>
      <c r="D1339" s="2">
        <v>2.64</v>
      </c>
      <c r="E1339" s="2">
        <v>0.93</v>
      </c>
      <c r="F1339" s="2">
        <v>50.0</v>
      </c>
      <c r="G1339" s="4">
        <v>44460.92031270833</v>
      </c>
      <c r="H1339" s="8">
        <v>44460.0</v>
      </c>
    </row>
    <row r="1340">
      <c r="A1340" s="2">
        <v>1.5</v>
      </c>
      <c r="B1340" s="2">
        <v>232.6</v>
      </c>
      <c r="C1340" s="2">
        <v>325.1</v>
      </c>
      <c r="D1340" s="2">
        <v>2.64</v>
      </c>
      <c r="E1340" s="2">
        <v>0.93</v>
      </c>
      <c r="F1340" s="2">
        <v>49.9</v>
      </c>
      <c r="G1340" s="4">
        <v>44460.920412314816</v>
      </c>
      <c r="H1340" s="8">
        <v>44460.0</v>
      </c>
    </row>
    <row r="1341">
      <c r="A1341" s="2">
        <v>1.49</v>
      </c>
      <c r="B1341" s="2">
        <v>232.6</v>
      </c>
      <c r="C1341" s="2">
        <v>323.2</v>
      </c>
      <c r="D1341" s="2">
        <v>2.64</v>
      </c>
      <c r="E1341" s="2">
        <v>0.93</v>
      </c>
      <c r="F1341" s="2">
        <v>50.0</v>
      </c>
      <c r="G1341" s="4">
        <v>44460.920510682874</v>
      </c>
      <c r="H1341" s="8">
        <v>44460.0</v>
      </c>
    </row>
    <row r="1342">
      <c r="A1342" s="2">
        <v>1.48</v>
      </c>
      <c r="B1342" s="2">
        <v>232.3</v>
      </c>
      <c r="C1342" s="2">
        <v>320.9</v>
      </c>
      <c r="D1342" s="2">
        <v>2.64</v>
      </c>
      <c r="E1342" s="2">
        <v>0.93</v>
      </c>
      <c r="F1342" s="2">
        <v>50.0</v>
      </c>
      <c r="G1342" s="4">
        <v>44460.92061616898</v>
      </c>
      <c r="H1342" s="8">
        <v>44460.0</v>
      </c>
    </row>
    <row r="1343">
      <c r="A1343" s="2">
        <v>1.47</v>
      </c>
      <c r="B1343" s="2">
        <v>232.4</v>
      </c>
      <c r="C1343" s="2">
        <v>318.8</v>
      </c>
      <c r="D1343" s="2">
        <v>2.64</v>
      </c>
      <c r="E1343" s="2">
        <v>0.93</v>
      </c>
      <c r="F1343" s="2">
        <v>50.0</v>
      </c>
      <c r="G1343" s="4">
        <v>44460.92071657407</v>
      </c>
      <c r="H1343" s="8">
        <v>44460.0</v>
      </c>
    </row>
    <row r="1344">
      <c r="A1344" s="2">
        <v>1.47</v>
      </c>
      <c r="B1344" s="2">
        <v>232.4</v>
      </c>
      <c r="C1344" s="2">
        <v>317.9</v>
      </c>
      <c r="D1344" s="2">
        <v>2.64</v>
      </c>
      <c r="E1344" s="2">
        <v>0.93</v>
      </c>
      <c r="F1344" s="2">
        <v>49.9</v>
      </c>
      <c r="G1344" s="4">
        <v>44460.92085241898</v>
      </c>
      <c r="H1344" s="8">
        <v>44460.0</v>
      </c>
    </row>
    <row r="1345">
      <c r="A1345" s="2">
        <v>1.46</v>
      </c>
      <c r="B1345" s="2">
        <v>232.5</v>
      </c>
      <c r="C1345" s="2">
        <v>314.7</v>
      </c>
      <c r="D1345" s="2">
        <v>2.64</v>
      </c>
      <c r="E1345" s="2">
        <v>0.93</v>
      </c>
      <c r="F1345" s="2">
        <v>50.0</v>
      </c>
      <c r="G1345" s="4">
        <v>44460.92095922454</v>
      </c>
      <c r="H1345" s="8">
        <v>44460.0</v>
      </c>
    </row>
    <row r="1346">
      <c r="A1346" s="2">
        <v>1.45</v>
      </c>
      <c r="B1346" s="2">
        <v>232.4</v>
      </c>
      <c r="C1346" s="2">
        <v>312.6</v>
      </c>
      <c r="D1346" s="2">
        <v>2.64</v>
      </c>
      <c r="E1346" s="2">
        <v>0.93</v>
      </c>
      <c r="F1346" s="2">
        <v>49.9</v>
      </c>
      <c r="G1346" s="4">
        <v>44460.921105092595</v>
      </c>
      <c r="H1346" s="8">
        <v>44460.0</v>
      </c>
    </row>
    <row r="1347">
      <c r="A1347" s="2">
        <v>1.37</v>
      </c>
      <c r="B1347" s="2">
        <v>232.4</v>
      </c>
      <c r="C1347" s="2">
        <v>296.1</v>
      </c>
      <c r="D1347" s="2">
        <v>2.64</v>
      </c>
      <c r="E1347" s="2">
        <v>0.93</v>
      </c>
      <c r="F1347" s="2">
        <v>49.9</v>
      </c>
      <c r="G1347" s="4">
        <v>44460.92122037037</v>
      </c>
      <c r="H1347" s="8">
        <v>44460.0</v>
      </c>
    </row>
    <row r="1348">
      <c r="A1348" s="2">
        <v>1.07</v>
      </c>
      <c r="B1348" s="2">
        <v>232.6</v>
      </c>
      <c r="C1348" s="2">
        <v>221.4</v>
      </c>
      <c r="D1348" s="2">
        <v>2.64</v>
      </c>
      <c r="E1348" s="2">
        <v>0.89</v>
      </c>
      <c r="F1348" s="2">
        <v>49.9</v>
      </c>
      <c r="G1348" s="4">
        <v>44460.921329791665</v>
      </c>
      <c r="H1348" s="8">
        <v>44460.0</v>
      </c>
    </row>
    <row r="1349">
      <c r="A1349" s="2">
        <v>1.08</v>
      </c>
      <c r="B1349" s="2">
        <v>232.7</v>
      </c>
      <c r="C1349" s="2">
        <v>223.5</v>
      </c>
      <c r="D1349" s="2">
        <v>2.64</v>
      </c>
      <c r="E1349" s="2">
        <v>0.89</v>
      </c>
      <c r="F1349" s="2">
        <v>50.0</v>
      </c>
      <c r="G1349" s="4">
        <v>44460.92143877315</v>
      </c>
      <c r="H1349" s="8">
        <v>44460.0</v>
      </c>
    </row>
    <row r="1350">
      <c r="A1350" s="2">
        <v>1.08</v>
      </c>
      <c r="B1350" s="2">
        <v>232.6</v>
      </c>
      <c r="C1350" s="2">
        <v>224.8</v>
      </c>
      <c r="D1350" s="2">
        <v>2.64</v>
      </c>
      <c r="E1350" s="2">
        <v>0.89</v>
      </c>
      <c r="F1350" s="2">
        <v>49.9</v>
      </c>
      <c r="G1350" s="4">
        <v>44460.92155046297</v>
      </c>
      <c r="H1350" s="8">
        <v>44460.0</v>
      </c>
    </row>
    <row r="1351">
      <c r="A1351" s="2">
        <v>1.08</v>
      </c>
      <c r="B1351" s="2">
        <v>232.5</v>
      </c>
      <c r="C1351" s="2">
        <v>224.9</v>
      </c>
      <c r="D1351" s="2">
        <v>2.64</v>
      </c>
      <c r="E1351" s="2">
        <v>0.89</v>
      </c>
      <c r="F1351" s="2">
        <v>50.0</v>
      </c>
      <c r="G1351" s="4">
        <v>44460.921662152774</v>
      </c>
      <c r="H1351" s="8">
        <v>44460.0</v>
      </c>
    </row>
    <row r="1352">
      <c r="A1352" s="2">
        <v>1.09</v>
      </c>
      <c r="B1352" s="2">
        <v>232.5</v>
      </c>
      <c r="C1352" s="2">
        <v>225.2</v>
      </c>
      <c r="D1352" s="2">
        <v>2.64</v>
      </c>
      <c r="E1352" s="2">
        <v>0.89</v>
      </c>
      <c r="F1352" s="2">
        <v>50.0</v>
      </c>
      <c r="G1352" s="4">
        <v>44460.92177314815</v>
      </c>
      <c r="H1352" s="8">
        <v>44460.0</v>
      </c>
    </row>
    <row r="1353">
      <c r="A1353" s="2">
        <v>1.08</v>
      </c>
      <c r="B1353" s="2">
        <v>232.6</v>
      </c>
      <c r="C1353" s="2">
        <v>224.8</v>
      </c>
      <c r="D1353" s="2">
        <v>2.65</v>
      </c>
      <c r="E1353" s="2">
        <v>0.89</v>
      </c>
      <c r="F1353" s="2">
        <v>50.0</v>
      </c>
      <c r="G1353" s="4">
        <v>44460.92188364583</v>
      </c>
      <c r="H1353" s="8">
        <v>44460.0</v>
      </c>
    </row>
    <row r="1354">
      <c r="A1354" s="2">
        <v>1.08</v>
      </c>
      <c r="B1354" s="2">
        <v>232.5</v>
      </c>
      <c r="C1354" s="2">
        <v>224.8</v>
      </c>
      <c r="D1354" s="2">
        <v>2.65</v>
      </c>
      <c r="E1354" s="2">
        <v>0.89</v>
      </c>
      <c r="F1354" s="2">
        <v>50.0</v>
      </c>
      <c r="G1354" s="4">
        <v>44460.92198908565</v>
      </c>
      <c r="H1354" s="8">
        <v>44460.0</v>
      </c>
    </row>
    <row r="1355">
      <c r="A1355" s="2">
        <v>1.08</v>
      </c>
      <c r="B1355" s="2">
        <v>232.5</v>
      </c>
      <c r="C1355" s="2">
        <v>224.2</v>
      </c>
      <c r="D1355" s="2">
        <v>2.65</v>
      </c>
      <c r="E1355" s="2">
        <v>0.89</v>
      </c>
      <c r="F1355" s="2">
        <v>50.0</v>
      </c>
      <c r="G1355" s="4">
        <v>44460.92209533565</v>
      </c>
      <c r="H1355" s="8">
        <v>44460.0</v>
      </c>
    </row>
    <row r="1356">
      <c r="A1356" s="2">
        <v>1.08</v>
      </c>
      <c r="B1356" s="2">
        <v>232.3</v>
      </c>
      <c r="C1356" s="2">
        <v>224.0</v>
      </c>
      <c r="D1356" s="2">
        <v>2.65</v>
      </c>
      <c r="E1356" s="2">
        <v>0.89</v>
      </c>
      <c r="F1356" s="2">
        <v>50.0</v>
      </c>
      <c r="G1356" s="4">
        <v>44460.92219576389</v>
      </c>
      <c r="H1356" s="8">
        <v>44460.0</v>
      </c>
    </row>
    <row r="1357">
      <c r="A1357" s="2">
        <v>1.08</v>
      </c>
      <c r="B1357" s="2">
        <v>232.3</v>
      </c>
      <c r="C1357" s="2">
        <v>223.2</v>
      </c>
      <c r="D1357" s="2">
        <v>2.65</v>
      </c>
      <c r="E1357" s="2">
        <v>0.89</v>
      </c>
      <c r="F1357" s="2">
        <v>50.0</v>
      </c>
      <c r="G1357" s="4">
        <v>44460.922296006946</v>
      </c>
      <c r="H1357" s="8">
        <v>44460.0</v>
      </c>
    </row>
    <row r="1358">
      <c r="A1358" s="2">
        <v>1.07</v>
      </c>
      <c r="B1358" s="2">
        <v>232.4</v>
      </c>
      <c r="C1358" s="2">
        <v>222.0</v>
      </c>
      <c r="D1358" s="2">
        <v>2.65</v>
      </c>
      <c r="E1358" s="2">
        <v>0.89</v>
      </c>
      <c r="F1358" s="2">
        <v>49.9</v>
      </c>
      <c r="G1358" s="4">
        <v>44460.92239824074</v>
      </c>
      <c r="H1358" s="8">
        <v>44460.0</v>
      </c>
    </row>
    <row r="1359">
      <c r="A1359" s="2">
        <v>1.07</v>
      </c>
      <c r="B1359" s="2">
        <v>232.4</v>
      </c>
      <c r="C1359" s="2">
        <v>222.0</v>
      </c>
      <c r="D1359" s="2">
        <v>2.65</v>
      </c>
      <c r="E1359" s="2">
        <v>0.89</v>
      </c>
      <c r="F1359" s="2">
        <v>49.9</v>
      </c>
      <c r="G1359" s="4">
        <v>44460.92250534722</v>
      </c>
      <c r="H1359" s="8">
        <v>44460.0</v>
      </c>
    </row>
    <row r="1360">
      <c r="A1360" s="2">
        <v>1.07</v>
      </c>
      <c r="B1360" s="2">
        <v>232.3</v>
      </c>
      <c r="C1360" s="2">
        <v>220.6</v>
      </c>
      <c r="D1360" s="2">
        <v>2.65</v>
      </c>
      <c r="E1360" s="2">
        <v>0.89</v>
      </c>
      <c r="F1360" s="2">
        <v>49.9</v>
      </c>
      <c r="G1360" s="4">
        <v>44460.922615324074</v>
      </c>
      <c r="H1360" s="8">
        <v>44460.0</v>
      </c>
    </row>
    <row r="1361">
      <c r="A1361" s="2">
        <v>1.07</v>
      </c>
      <c r="B1361" s="2">
        <v>232.3</v>
      </c>
      <c r="C1361" s="2">
        <v>220.0</v>
      </c>
      <c r="D1361" s="2">
        <v>2.65</v>
      </c>
      <c r="E1361" s="2">
        <v>0.89</v>
      </c>
      <c r="F1361" s="2">
        <v>49.9</v>
      </c>
      <c r="G1361" s="4">
        <v>44460.92272444445</v>
      </c>
      <c r="H1361" s="8">
        <v>44460.0</v>
      </c>
    </row>
    <row r="1362">
      <c r="A1362" s="2">
        <v>1.06</v>
      </c>
      <c r="B1362" s="2">
        <v>232.3</v>
      </c>
      <c r="C1362" s="2">
        <v>219.0</v>
      </c>
      <c r="D1362" s="2">
        <v>2.65</v>
      </c>
      <c r="E1362" s="2">
        <v>0.89</v>
      </c>
      <c r="F1362" s="2">
        <v>49.9</v>
      </c>
      <c r="G1362" s="4">
        <v>44460.92283225694</v>
      </c>
      <c r="H1362" s="8">
        <v>44460.0</v>
      </c>
    </row>
    <row r="1363">
      <c r="A1363" s="2">
        <v>1.06</v>
      </c>
      <c r="B1363" s="2">
        <v>232.4</v>
      </c>
      <c r="C1363" s="2">
        <v>218.1</v>
      </c>
      <c r="D1363" s="2">
        <v>2.65</v>
      </c>
      <c r="E1363" s="2">
        <v>0.89</v>
      </c>
      <c r="F1363" s="2">
        <v>49.9</v>
      </c>
      <c r="G1363" s="4">
        <v>44460.922935740746</v>
      </c>
      <c r="H1363" s="8">
        <v>44460.0</v>
      </c>
    </row>
    <row r="1364">
      <c r="A1364" s="2">
        <v>1.05</v>
      </c>
      <c r="B1364" s="2">
        <v>232.5</v>
      </c>
      <c r="C1364" s="2">
        <v>217.2</v>
      </c>
      <c r="D1364" s="2">
        <v>2.65</v>
      </c>
      <c r="E1364" s="2">
        <v>0.89</v>
      </c>
      <c r="F1364" s="2">
        <v>50.0</v>
      </c>
      <c r="G1364" s="4">
        <v>44460.92303913194</v>
      </c>
      <c r="H1364" s="8">
        <v>44460.0</v>
      </c>
    </row>
    <row r="1365">
      <c r="A1365" s="2">
        <v>1.05</v>
      </c>
      <c r="B1365" s="2">
        <v>232.5</v>
      </c>
      <c r="C1365" s="2">
        <v>216.2</v>
      </c>
      <c r="D1365" s="2">
        <v>2.65</v>
      </c>
      <c r="E1365" s="2">
        <v>0.89</v>
      </c>
      <c r="F1365" s="2">
        <v>50.0</v>
      </c>
      <c r="G1365" s="4">
        <v>44460.92314100695</v>
      </c>
      <c r="H1365" s="8">
        <v>44460.0</v>
      </c>
    </row>
    <row r="1366">
      <c r="A1366" s="2">
        <v>1.05</v>
      </c>
      <c r="B1366" s="2">
        <v>232.5</v>
      </c>
      <c r="C1366" s="2">
        <v>215.7</v>
      </c>
      <c r="D1366" s="2">
        <v>2.65</v>
      </c>
      <c r="E1366" s="2">
        <v>0.89</v>
      </c>
      <c r="F1366" s="2">
        <v>50.0</v>
      </c>
      <c r="G1366" s="4">
        <v>44460.923246736114</v>
      </c>
      <c r="H1366" s="8">
        <v>44460.0</v>
      </c>
    </row>
    <row r="1367">
      <c r="A1367" s="2">
        <v>1.04</v>
      </c>
      <c r="B1367" s="2">
        <v>232.3</v>
      </c>
      <c r="C1367" s="2">
        <v>213.8</v>
      </c>
      <c r="D1367" s="2">
        <v>2.65</v>
      </c>
      <c r="E1367" s="2">
        <v>0.88</v>
      </c>
      <c r="F1367" s="2">
        <v>50.0</v>
      </c>
      <c r="G1367" s="4">
        <v>44460.92335222222</v>
      </c>
      <c r="H1367" s="8">
        <v>44460.0</v>
      </c>
    </row>
    <row r="1368">
      <c r="A1368" s="2">
        <v>1.04</v>
      </c>
      <c r="B1368" s="2">
        <v>232.4</v>
      </c>
      <c r="C1368" s="2">
        <v>213.9</v>
      </c>
      <c r="D1368" s="2">
        <v>2.65</v>
      </c>
      <c r="E1368" s="2">
        <v>0.88</v>
      </c>
      <c r="F1368" s="2">
        <v>50.0</v>
      </c>
      <c r="G1368" s="4">
        <v>44460.92345858796</v>
      </c>
      <c r="H1368" s="8">
        <v>44460.0</v>
      </c>
    </row>
    <row r="1369">
      <c r="A1369" s="2">
        <v>1.03</v>
      </c>
      <c r="B1369" s="2">
        <v>232.5</v>
      </c>
      <c r="C1369" s="2">
        <v>212.0</v>
      </c>
      <c r="D1369" s="2">
        <v>2.65</v>
      </c>
      <c r="E1369" s="2">
        <v>0.88</v>
      </c>
      <c r="F1369" s="2">
        <v>50.0</v>
      </c>
      <c r="G1369" s="4">
        <v>44460.923568819446</v>
      </c>
      <c r="H1369" s="8">
        <v>44460.0</v>
      </c>
    </row>
    <row r="1370">
      <c r="A1370" s="2">
        <v>1.03</v>
      </c>
      <c r="B1370" s="2">
        <v>232.6</v>
      </c>
      <c r="C1370" s="2">
        <v>211.1</v>
      </c>
      <c r="D1370" s="2">
        <v>2.65</v>
      </c>
      <c r="E1370" s="2">
        <v>0.88</v>
      </c>
      <c r="F1370" s="2">
        <v>50.0</v>
      </c>
      <c r="G1370" s="4">
        <v>44460.92367935185</v>
      </c>
      <c r="H1370" s="8">
        <v>44460.0</v>
      </c>
    </row>
    <row r="1371">
      <c r="A1371" s="2">
        <v>1.02</v>
      </c>
      <c r="B1371" s="2">
        <v>232.5</v>
      </c>
      <c r="C1371" s="2">
        <v>210.3</v>
      </c>
      <c r="D1371" s="2">
        <v>2.66</v>
      </c>
      <c r="E1371" s="2">
        <v>0.88</v>
      </c>
      <c r="F1371" s="2">
        <v>50.0</v>
      </c>
      <c r="G1371" s="4">
        <v>44460.92379431713</v>
      </c>
      <c r="H1371" s="8">
        <v>44460.0</v>
      </c>
    </row>
    <row r="1372">
      <c r="A1372" s="2">
        <v>1.02</v>
      </c>
      <c r="B1372" s="2">
        <v>232.6</v>
      </c>
      <c r="C1372" s="2">
        <v>208.8</v>
      </c>
      <c r="D1372" s="2">
        <v>2.66</v>
      </c>
      <c r="E1372" s="2">
        <v>0.88</v>
      </c>
      <c r="F1372" s="2">
        <v>50.0</v>
      </c>
      <c r="G1372" s="4">
        <v>44460.92390633102</v>
      </c>
      <c r="H1372" s="8">
        <v>44460.0</v>
      </c>
    </row>
    <row r="1373">
      <c r="A1373" s="2">
        <v>1.01</v>
      </c>
      <c r="B1373" s="2">
        <v>232.8</v>
      </c>
      <c r="C1373" s="2">
        <v>207.4</v>
      </c>
      <c r="D1373" s="2">
        <v>2.66</v>
      </c>
      <c r="E1373" s="2">
        <v>0.88</v>
      </c>
      <c r="F1373" s="2">
        <v>50.0</v>
      </c>
      <c r="G1373" s="4">
        <v>44460.924053807874</v>
      </c>
      <c r="H1373" s="8">
        <v>44460.0</v>
      </c>
    </row>
    <row r="1374">
      <c r="A1374" s="2">
        <v>1.01</v>
      </c>
      <c r="B1374" s="2">
        <v>232.8</v>
      </c>
      <c r="C1374" s="2">
        <v>207.3</v>
      </c>
      <c r="D1374" s="2">
        <v>2.66</v>
      </c>
      <c r="E1374" s="2">
        <v>0.88</v>
      </c>
      <c r="F1374" s="2">
        <v>50.0</v>
      </c>
      <c r="G1374" s="4">
        <v>44460.92416112269</v>
      </c>
      <c r="H1374" s="8">
        <v>44460.0</v>
      </c>
    </row>
    <row r="1375">
      <c r="A1375" s="2">
        <v>1.0</v>
      </c>
      <c r="B1375" s="2">
        <v>232.5</v>
      </c>
      <c r="C1375" s="2">
        <v>205.2</v>
      </c>
      <c r="D1375" s="2">
        <v>2.66</v>
      </c>
      <c r="E1375" s="2">
        <v>0.88</v>
      </c>
      <c r="F1375" s="2">
        <v>50.0</v>
      </c>
      <c r="G1375" s="4">
        <v>44460.92427616898</v>
      </c>
      <c r="H1375" s="8">
        <v>44460.0</v>
      </c>
    </row>
    <row r="1376">
      <c r="A1376" s="2">
        <v>1.0</v>
      </c>
      <c r="B1376" s="2">
        <v>232.5</v>
      </c>
      <c r="C1376" s="2">
        <v>204.1</v>
      </c>
      <c r="D1376" s="2">
        <v>2.66</v>
      </c>
      <c r="E1376" s="2">
        <v>0.88</v>
      </c>
      <c r="F1376" s="2">
        <v>49.9</v>
      </c>
      <c r="G1376" s="4">
        <v>44460.92440765046</v>
      </c>
      <c r="H1376" s="8">
        <v>44460.0</v>
      </c>
    </row>
    <row r="1377">
      <c r="A1377" s="2">
        <v>1.0</v>
      </c>
      <c r="B1377" s="2">
        <v>232.4</v>
      </c>
      <c r="C1377" s="2">
        <v>202.9</v>
      </c>
      <c r="D1377" s="2">
        <v>2.66</v>
      </c>
      <c r="E1377" s="2">
        <v>0.88</v>
      </c>
      <c r="F1377" s="2">
        <v>49.9</v>
      </c>
      <c r="G1377" s="4">
        <v>44460.924511192134</v>
      </c>
      <c r="H1377" s="8">
        <v>44460.0</v>
      </c>
    </row>
    <row r="1378">
      <c r="A1378" s="2">
        <v>0.99</v>
      </c>
      <c r="B1378" s="2">
        <v>232.5</v>
      </c>
      <c r="C1378" s="2">
        <v>202.3</v>
      </c>
      <c r="D1378" s="2">
        <v>2.66</v>
      </c>
      <c r="E1378" s="2">
        <v>0.88</v>
      </c>
      <c r="F1378" s="2">
        <v>49.9</v>
      </c>
      <c r="G1378" s="4">
        <v>44460.92461164352</v>
      </c>
      <c r="H1378" s="8">
        <v>44460.0</v>
      </c>
    </row>
    <row r="1379">
      <c r="A1379" s="2">
        <v>0.99</v>
      </c>
      <c r="B1379" s="2">
        <v>232.4</v>
      </c>
      <c r="C1379" s="2">
        <v>201.9</v>
      </c>
      <c r="D1379" s="2">
        <v>2.66</v>
      </c>
      <c r="E1379" s="2">
        <v>0.88</v>
      </c>
      <c r="F1379" s="2">
        <v>50.0</v>
      </c>
      <c r="G1379" s="4">
        <v>44460.9247190162</v>
      </c>
      <c r="H1379" s="8">
        <v>44460.0</v>
      </c>
    </row>
    <row r="1380">
      <c r="A1380" s="2">
        <v>0.98</v>
      </c>
      <c r="B1380" s="2">
        <v>232.4</v>
      </c>
      <c r="C1380" s="2">
        <v>200.1</v>
      </c>
      <c r="D1380" s="2">
        <v>2.66</v>
      </c>
      <c r="E1380" s="2">
        <v>0.88</v>
      </c>
      <c r="F1380" s="2">
        <v>50.0</v>
      </c>
      <c r="G1380" s="4">
        <v>44460.924825891205</v>
      </c>
      <c r="H1380" s="8">
        <v>44460.0</v>
      </c>
    </row>
    <row r="1381">
      <c r="A1381" s="2">
        <v>0.98</v>
      </c>
      <c r="B1381" s="2">
        <v>232.3</v>
      </c>
      <c r="C1381" s="2">
        <v>199.4</v>
      </c>
      <c r="D1381" s="2">
        <v>2.66</v>
      </c>
      <c r="E1381" s="2">
        <v>0.87</v>
      </c>
      <c r="F1381" s="2">
        <v>49.9</v>
      </c>
      <c r="G1381" s="4">
        <v>44460.92492859953</v>
      </c>
      <c r="H1381" s="8">
        <v>44460.0</v>
      </c>
    </row>
    <row r="1382">
      <c r="A1382" s="2">
        <v>0.98</v>
      </c>
      <c r="B1382" s="2">
        <v>232.3</v>
      </c>
      <c r="C1382" s="2">
        <v>198.0</v>
      </c>
      <c r="D1382" s="2">
        <v>2.66</v>
      </c>
      <c r="E1382" s="2">
        <v>0.87</v>
      </c>
      <c r="F1382" s="2">
        <v>49.9</v>
      </c>
      <c r="G1382" s="4">
        <v>44460.92503010417</v>
      </c>
      <c r="H1382" s="8">
        <v>44460.0</v>
      </c>
    </row>
    <row r="1383">
      <c r="A1383" s="2">
        <v>0.97</v>
      </c>
      <c r="B1383" s="2">
        <v>232.4</v>
      </c>
      <c r="C1383" s="2">
        <v>197.2</v>
      </c>
      <c r="D1383" s="2">
        <v>2.66</v>
      </c>
      <c r="E1383" s="2">
        <v>0.87</v>
      </c>
      <c r="F1383" s="2">
        <v>50.0</v>
      </c>
      <c r="G1383" s="4">
        <v>44460.92513355324</v>
      </c>
      <c r="H1383" s="8">
        <v>44460.0</v>
      </c>
    </row>
    <row r="1384">
      <c r="A1384" s="2">
        <v>0.97</v>
      </c>
      <c r="B1384" s="2">
        <v>232.3</v>
      </c>
      <c r="C1384" s="2">
        <v>196.8</v>
      </c>
      <c r="D1384" s="2">
        <v>2.66</v>
      </c>
      <c r="E1384" s="2">
        <v>0.87</v>
      </c>
      <c r="F1384" s="2">
        <v>50.0</v>
      </c>
      <c r="G1384" s="4">
        <v>44460.92524332176</v>
      </c>
      <c r="H1384" s="8">
        <v>44460.0</v>
      </c>
    </row>
    <row r="1385">
      <c r="A1385" s="2">
        <v>0.96</v>
      </c>
      <c r="B1385" s="2">
        <v>232.4</v>
      </c>
      <c r="C1385" s="2">
        <v>195.4</v>
      </c>
      <c r="D1385" s="2">
        <v>2.66</v>
      </c>
      <c r="E1385" s="2">
        <v>0.87</v>
      </c>
      <c r="F1385" s="2">
        <v>50.0</v>
      </c>
      <c r="G1385" s="4">
        <v>44460.925345254625</v>
      </c>
      <c r="H1385" s="8">
        <v>44460.0</v>
      </c>
    </row>
    <row r="1386">
      <c r="A1386" s="2">
        <v>0.96</v>
      </c>
      <c r="B1386" s="2">
        <v>232.5</v>
      </c>
      <c r="C1386" s="2">
        <v>195.4</v>
      </c>
      <c r="D1386" s="2">
        <v>2.66</v>
      </c>
      <c r="E1386" s="2">
        <v>0.87</v>
      </c>
      <c r="F1386" s="2">
        <v>50.0</v>
      </c>
      <c r="G1386" s="4">
        <v>44460.92544892361</v>
      </c>
      <c r="H1386" s="8">
        <v>44460.0</v>
      </c>
    </row>
    <row r="1387">
      <c r="A1387" s="2">
        <v>0.96</v>
      </c>
      <c r="B1387" s="2">
        <v>232.5</v>
      </c>
      <c r="C1387" s="2">
        <v>193.6</v>
      </c>
      <c r="D1387" s="2">
        <v>2.66</v>
      </c>
      <c r="E1387" s="2">
        <v>0.87</v>
      </c>
      <c r="F1387" s="2">
        <v>50.0</v>
      </c>
      <c r="G1387" s="4">
        <v>44460.92555195602</v>
      </c>
      <c r="H1387" s="8">
        <v>44460.0</v>
      </c>
    </row>
    <row r="1388">
      <c r="A1388" s="2">
        <v>0.96</v>
      </c>
      <c r="B1388" s="2">
        <v>232.6</v>
      </c>
      <c r="C1388" s="2">
        <v>193.5</v>
      </c>
      <c r="D1388" s="2">
        <v>2.66</v>
      </c>
      <c r="E1388" s="2">
        <v>0.87</v>
      </c>
      <c r="F1388" s="2">
        <v>50.0</v>
      </c>
      <c r="G1388" s="4">
        <v>44460.92565927083</v>
      </c>
      <c r="H1388" s="8">
        <v>44460.0</v>
      </c>
    </row>
    <row r="1389">
      <c r="A1389" s="2">
        <v>0.95</v>
      </c>
      <c r="B1389" s="2">
        <v>232.6</v>
      </c>
      <c r="C1389" s="2">
        <v>191.5</v>
      </c>
      <c r="D1389" s="2">
        <v>2.67</v>
      </c>
      <c r="E1389" s="2">
        <v>0.87</v>
      </c>
      <c r="F1389" s="2">
        <v>50.0</v>
      </c>
      <c r="G1389" s="4">
        <v>44460.925778425924</v>
      </c>
      <c r="H1389" s="8">
        <v>44460.0</v>
      </c>
    </row>
    <row r="1390">
      <c r="A1390" s="2">
        <v>0.94</v>
      </c>
      <c r="B1390" s="2">
        <v>232.5</v>
      </c>
      <c r="C1390" s="2">
        <v>190.2</v>
      </c>
      <c r="D1390" s="2">
        <v>2.67</v>
      </c>
      <c r="E1390" s="2">
        <v>0.87</v>
      </c>
      <c r="F1390" s="2">
        <v>50.0</v>
      </c>
      <c r="G1390" s="4">
        <v>44460.925889756945</v>
      </c>
      <c r="H1390" s="8">
        <v>44460.0</v>
      </c>
    </row>
    <row r="1391">
      <c r="A1391" s="2">
        <v>0.94</v>
      </c>
      <c r="B1391" s="2">
        <v>232.3</v>
      </c>
      <c r="C1391" s="2">
        <v>189.9</v>
      </c>
      <c r="D1391" s="2">
        <v>2.67</v>
      </c>
      <c r="E1391" s="2">
        <v>0.87</v>
      </c>
      <c r="F1391" s="2">
        <v>50.0</v>
      </c>
      <c r="G1391" s="4">
        <v>44460.92599400463</v>
      </c>
      <c r="H1391" s="8">
        <v>44460.0</v>
      </c>
    </row>
    <row r="1392">
      <c r="A1392" s="2">
        <v>0.94</v>
      </c>
      <c r="B1392" s="2">
        <v>232.2</v>
      </c>
      <c r="C1392" s="2">
        <v>188.5</v>
      </c>
      <c r="D1392" s="2">
        <v>2.67</v>
      </c>
      <c r="E1392" s="2">
        <v>0.87</v>
      </c>
      <c r="F1392" s="2">
        <v>49.9</v>
      </c>
      <c r="G1392" s="4">
        <v>44460.926105046296</v>
      </c>
      <c r="H1392" s="8">
        <v>44460.0</v>
      </c>
    </row>
    <row r="1393">
      <c r="A1393" s="2">
        <v>0.93</v>
      </c>
      <c r="B1393" s="2">
        <v>232.2</v>
      </c>
      <c r="C1393" s="2">
        <v>187.7</v>
      </c>
      <c r="D1393" s="2">
        <v>2.67</v>
      </c>
      <c r="E1393" s="2">
        <v>0.87</v>
      </c>
      <c r="F1393" s="2">
        <v>49.9</v>
      </c>
      <c r="G1393" s="4">
        <v>44460.92623560185</v>
      </c>
      <c r="H1393" s="8">
        <v>44460.0</v>
      </c>
    </row>
    <row r="1394">
      <c r="A1394" s="2">
        <v>0.93</v>
      </c>
      <c r="B1394" s="2">
        <v>232.3</v>
      </c>
      <c r="C1394" s="2">
        <v>186.2</v>
      </c>
      <c r="D1394" s="2">
        <v>2.67</v>
      </c>
      <c r="E1394" s="2">
        <v>0.86</v>
      </c>
      <c r="F1394" s="2">
        <v>49.9</v>
      </c>
      <c r="G1394" s="4">
        <v>44460.926334641204</v>
      </c>
      <c r="H1394" s="8">
        <v>44460.0</v>
      </c>
    </row>
    <row r="1395">
      <c r="A1395" s="2">
        <v>0.93</v>
      </c>
      <c r="B1395" s="2">
        <v>232.2</v>
      </c>
      <c r="C1395" s="2">
        <v>185.4</v>
      </c>
      <c r="D1395" s="2">
        <v>2.67</v>
      </c>
      <c r="E1395" s="2">
        <v>0.86</v>
      </c>
      <c r="F1395" s="2">
        <v>49.9</v>
      </c>
      <c r="G1395" s="4">
        <v>44460.92644402778</v>
      </c>
      <c r="H1395" s="8">
        <v>44460.0</v>
      </c>
    </row>
    <row r="1396">
      <c r="A1396" s="2">
        <v>0.92</v>
      </c>
      <c r="B1396" s="2">
        <v>232.2</v>
      </c>
      <c r="C1396" s="2">
        <v>184.6</v>
      </c>
      <c r="D1396" s="2">
        <v>2.67</v>
      </c>
      <c r="E1396" s="2">
        <v>0.86</v>
      </c>
      <c r="F1396" s="2">
        <v>49.9</v>
      </c>
      <c r="G1396" s="4">
        <v>44460.92654335648</v>
      </c>
      <c r="H1396" s="8">
        <v>44460.0</v>
      </c>
    </row>
    <row r="1397">
      <c r="A1397" s="2">
        <v>0.92</v>
      </c>
      <c r="B1397" s="2">
        <v>232.3</v>
      </c>
      <c r="C1397" s="2">
        <v>183.3</v>
      </c>
      <c r="D1397" s="2">
        <v>2.67</v>
      </c>
      <c r="E1397" s="2">
        <v>0.86</v>
      </c>
      <c r="F1397" s="2">
        <v>49.9</v>
      </c>
      <c r="G1397" s="4">
        <v>44460.92664478009</v>
      </c>
      <c r="H1397" s="8">
        <v>44460.0</v>
      </c>
    </row>
    <row r="1398">
      <c r="A1398" s="2">
        <v>0.91</v>
      </c>
      <c r="B1398" s="2">
        <v>232.2</v>
      </c>
      <c r="C1398" s="2">
        <v>182.7</v>
      </c>
      <c r="D1398" s="2">
        <v>2.67</v>
      </c>
      <c r="E1398" s="2">
        <v>0.86</v>
      </c>
      <c r="F1398" s="2">
        <v>49.9</v>
      </c>
      <c r="G1398" s="4">
        <v>44460.92674552083</v>
      </c>
      <c r="H1398" s="8">
        <v>44460.0</v>
      </c>
    </row>
    <row r="1399">
      <c r="A1399" s="2">
        <v>0.91</v>
      </c>
      <c r="B1399" s="2">
        <v>232.3</v>
      </c>
      <c r="C1399" s="2">
        <v>181.3</v>
      </c>
      <c r="D1399" s="2">
        <v>2.67</v>
      </c>
      <c r="E1399" s="2">
        <v>0.86</v>
      </c>
      <c r="F1399" s="2">
        <v>49.9</v>
      </c>
      <c r="G1399" s="4">
        <v>44460.92685930556</v>
      </c>
      <c r="H1399" s="8">
        <v>44460.0</v>
      </c>
    </row>
    <row r="1400">
      <c r="A1400" s="2">
        <v>0.91</v>
      </c>
      <c r="B1400" s="2">
        <v>232.1</v>
      </c>
      <c r="C1400" s="2">
        <v>180.7</v>
      </c>
      <c r="D1400" s="2">
        <v>2.67</v>
      </c>
      <c r="E1400" s="2">
        <v>0.86</v>
      </c>
      <c r="F1400" s="2">
        <v>50.0</v>
      </c>
      <c r="G1400" s="4">
        <v>44460.926975787035</v>
      </c>
      <c r="H1400" s="8">
        <v>44460.0</v>
      </c>
    </row>
    <row r="1401">
      <c r="A1401" s="2">
        <v>0.9</v>
      </c>
      <c r="B1401" s="2">
        <v>231.9</v>
      </c>
      <c r="C1401" s="2">
        <v>179.5</v>
      </c>
      <c r="D1401" s="2">
        <v>2.67</v>
      </c>
      <c r="E1401" s="2">
        <v>0.86</v>
      </c>
      <c r="F1401" s="2">
        <v>50.0</v>
      </c>
      <c r="G1401" s="4">
        <v>44460.9270796875</v>
      </c>
      <c r="H1401" s="8">
        <v>44460.0</v>
      </c>
    </row>
    <row r="1402">
      <c r="A1402" s="2">
        <v>0.9</v>
      </c>
      <c r="B1402" s="2">
        <v>232.1</v>
      </c>
      <c r="C1402" s="2">
        <v>179.2</v>
      </c>
      <c r="D1402" s="2">
        <v>2.67</v>
      </c>
      <c r="E1402" s="2">
        <v>0.86</v>
      </c>
      <c r="F1402" s="2">
        <v>50.0</v>
      </c>
      <c r="G1402" s="4">
        <v>44460.92718515046</v>
      </c>
      <c r="H1402" s="8">
        <v>44460.0</v>
      </c>
    </row>
    <row r="1403">
      <c r="A1403" s="2">
        <v>0.9</v>
      </c>
      <c r="B1403" s="2">
        <v>232.1</v>
      </c>
      <c r="C1403" s="2">
        <v>178.1</v>
      </c>
      <c r="D1403" s="2">
        <v>2.67</v>
      </c>
      <c r="E1403" s="2">
        <v>0.86</v>
      </c>
      <c r="F1403" s="2">
        <v>50.0</v>
      </c>
      <c r="G1403" s="4">
        <v>44460.92729969908</v>
      </c>
      <c r="H1403" s="8">
        <v>44460.0</v>
      </c>
    </row>
    <row r="1404">
      <c r="A1404" s="2">
        <v>0.89</v>
      </c>
      <c r="B1404" s="2">
        <v>232.2</v>
      </c>
      <c r="C1404" s="2">
        <v>176.2</v>
      </c>
      <c r="D1404" s="2">
        <v>2.67</v>
      </c>
      <c r="E1404" s="2">
        <v>0.85</v>
      </c>
      <c r="F1404" s="2">
        <v>50.0</v>
      </c>
      <c r="G1404" s="4">
        <v>44460.927400347224</v>
      </c>
      <c r="H1404" s="8">
        <v>44460.0</v>
      </c>
    </row>
    <row r="1405">
      <c r="A1405" s="2">
        <v>0.89</v>
      </c>
      <c r="B1405" s="2">
        <v>231.9</v>
      </c>
      <c r="C1405" s="2">
        <v>176.1</v>
      </c>
      <c r="D1405" s="2">
        <v>2.67</v>
      </c>
      <c r="E1405" s="2">
        <v>0.86</v>
      </c>
      <c r="F1405" s="2">
        <v>49.9</v>
      </c>
      <c r="G1405" s="4">
        <v>44460.92750503472</v>
      </c>
      <c r="H1405" s="8">
        <v>44460.0</v>
      </c>
    </row>
    <row r="1406">
      <c r="A1406" s="2">
        <v>0.88</v>
      </c>
      <c r="B1406" s="2">
        <v>231.7</v>
      </c>
      <c r="C1406" s="2">
        <v>174.9</v>
      </c>
      <c r="D1406" s="2">
        <v>2.67</v>
      </c>
      <c r="E1406" s="2">
        <v>0.85</v>
      </c>
      <c r="F1406" s="2">
        <v>49.9</v>
      </c>
      <c r="G1406" s="4">
        <v>44460.9276090162</v>
      </c>
      <c r="H1406" s="8">
        <v>44460.0</v>
      </c>
    </row>
    <row r="1407">
      <c r="A1407" s="2">
        <v>0.88</v>
      </c>
      <c r="B1407" s="2">
        <v>231.8</v>
      </c>
      <c r="C1407" s="2">
        <v>174.1</v>
      </c>
      <c r="D1407" s="2">
        <v>2.67</v>
      </c>
      <c r="E1407" s="2">
        <v>0.85</v>
      </c>
      <c r="F1407" s="2">
        <v>50.0</v>
      </c>
      <c r="G1407" s="4">
        <v>44460.92771172454</v>
      </c>
      <c r="H1407" s="8">
        <v>44460.0</v>
      </c>
    </row>
    <row r="1408">
      <c r="A1408" s="2">
        <v>0.88</v>
      </c>
      <c r="B1408" s="2">
        <v>231.8</v>
      </c>
      <c r="C1408" s="2">
        <v>173.2</v>
      </c>
      <c r="D1408" s="2">
        <v>2.67</v>
      </c>
      <c r="E1408" s="2">
        <v>0.85</v>
      </c>
      <c r="F1408" s="2">
        <v>49.9</v>
      </c>
      <c r="G1408" s="4">
        <v>44460.92781434028</v>
      </c>
      <c r="H1408" s="8">
        <v>44460.0</v>
      </c>
    </row>
    <row r="1409">
      <c r="A1409" s="2">
        <v>0.87</v>
      </c>
      <c r="B1409" s="2">
        <v>231.9</v>
      </c>
      <c r="C1409" s="2">
        <v>172.0</v>
      </c>
      <c r="D1409" s="2">
        <v>2.67</v>
      </c>
      <c r="E1409" s="2">
        <v>0.85</v>
      </c>
      <c r="F1409" s="2">
        <v>49.9</v>
      </c>
      <c r="G1409" s="4">
        <v>44460.927920636575</v>
      </c>
      <c r="H1409" s="8">
        <v>44460.0</v>
      </c>
    </row>
    <row r="1410">
      <c r="A1410" s="2">
        <v>0.87</v>
      </c>
      <c r="B1410" s="2">
        <v>231.9</v>
      </c>
      <c r="C1410" s="2">
        <v>171.4</v>
      </c>
      <c r="D1410" s="2">
        <v>2.67</v>
      </c>
      <c r="E1410" s="2">
        <v>0.85</v>
      </c>
      <c r="F1410" s="2">
        <v>49.9</v>
      </c>
      <c r="G1410" s="4">
        <v>44460.92802471065</v>
      </c>
      <c r="H1410" s="8">
        <v>44460.0</v>
      </c>
    </row>
    <row r="1411">
      <c r="A1411" s="2">
        <v>0.86</v>
      </c>
      <c r="B1411" s="2">
        <v>231.9</v>
      </c>
      <c r="C1411" s="2">
        <v>169.8</v>
      </c>
      <c r="D1411" s="2">
        <v>2.68</v>
      </c>
      <c r="E1411" s="2">
        <v>0.85</v>
      </c>
      <c r="F1411" s="2">
        <v>50.0</v>
      </c>
      <c r="G1411" s="4">
        <v>44460.92812556713</v>
      </c>
      <c r="H1411" s="8">
        <v>44460.0</v>
      </c>
    </row>
    <row r="1412">
      <c r="A1412" s="2">
        <v>0.86</v>
      </c>
      <c r="B1412" s="2">
        <v>231.9</v>
      </c>
      <c r="C1412" s="2">
        <v>169.8</v>
      </c>
      <c r="D1412" s="2">
        <v>2.68</v>
      </c>
      <c r="E1412" s="2">
        <v>0.85</v>
      </c>
      <c r="F1412" s="2">
        <v>49.9</v>
      </c>
      <c r="G1412" s="4">
        <v>44460.928233784725</v>
      </c>
      <c r="H1412" s="8">
        <v>44460.0</v>
      </c>
    </row>
    <row r="1413">
      <c r="A1413" s="2">
        <v>0.86</v>
      </c>
      <c r="B1413" s="2">
        <v>232.0</v>
      </c>
      <c r="C1413" s="2">
        <v>168.5</v>
      </c>
      <c r="D1413" s="2">
        <v>2.68</v>
      </c>
      <c r="E1413" s="2">
        <v>0.85</v>
      </c>
      <c r="F1413" s="2">
        <v>49.9</v>
      </c>
      <c r="G1413" s="4">
        <v>44460.928340370374</v>
      </c>
      <c r="H1413" s="8">
        <v>44460.0</v>
      </c>
    </row>
    <row r="1414">
      <c r="A1414" s="2">
        <v>0.85</v>
      </c>
      <c r="B1414" s="2">
        <v>232.2</v>
      </c>
      <c r="C1414" s="2">
        <v>167.6</v>
      </c>
      <c r="D1414" s="2">
        <v>2.68</v>
      </c>
      <c r="E1414" s="2">
        <v>0.85</v>
      </c>
      <c r="F1414" s="2">
        <v>50.0</v>
      </c>
      <c r="G1414" s="4">
        <v>44460.92844782407</v>
      </c>
      <c r="H1414" s="8">
        <v>44460.0</v>
      </c>
    </row>
    <row r="1415">
      <c r="A1415" s="2">
        <v>0.85</v>
      </c>
      <c r="B1415" s="2">
        <v>232.3</v>
      </c>
      <c r="C1415" s="2">
        <v>166.2</v>
      </c>
      <c r="D1415" s="2">
        <v>2.68</v>
      </c>
      <c r="E1415" s="2">
        <v>0.84</v>
      </c>
      <c r="F1415" s="2">
        <v>50.0</v>
      </c>
      <c r="G1415" s="4">
        <v>44460.928548958334</v>
      </c>
      <c r="H1415" s="8">
        <v>44460.0</v>
      </c>
    </row>
    <row r="1416">
      <c r="A1416" s="2">
        <v>0.85</v>
      </c>
      <c r="B1416" s="2">
        <v>232.3</v>
      </c>
      <c r="C1416" s="2">
        <v>166.3</v>
      </c>
      <c r="D1416" s="2">
        <v>2.68</v>
      </c>
      <c r="E1416" s="2">
        <v>0.84</v>
      </c>
      <c r="F1416" s="2">
        <v>50.0</v>
      </c>
      <c r="G1416" s="4">
        <v>44460.92865047454</v>
      </c>
      <c r="H1416" s="8">
        <v>44460.0</v>
      </c>
    </row>
    <row r="1417">
      <c r="A1417" s="2">
        <v>0.84</v>
      </c>
      <c r="B1417" s="2">
        <v>232.6</v>
      </c>
      <c r="C1417" s="2">
        <v>165.0</v>
      </c>
      <c r="D1417" s="2">
        <v>2.68</v>
      </c>
      <c r="E1417" s="2">
        <v>0.84</v>
      </c>
      <c r="F1417" s="2">
        <v>50.0</v>
      </c>
      <c r="G1417" s="4">
        <v>44460.928762083335</v>
      </c>
      <c r="H1417" s="8">
        <v>44460.0</v>
      </c>
    </row>
    <row r="1418">
      <c r="A1418" s="2">
        <v>0.84</v>
      </c>
      <c r="B1418" s="2">
        <v>232.3</v>
      </c>
      <c r="C1418" s="2">
        <v>164.7</v>
      </c>
      <c r="D1418" s="2">
        <v>2.68</v>
      </c>
      <c r="E1418" s="2">
        <v>0.84</v>
      </c>
      <c r="F1418" s="2">
        <v>50.0</v>
      </c>
      <c r="G1418" s="4">
        <v>44460.92886216435</v>
      </c>
      <c r="H1418" s="8">
        <v>44460.0</v>
      </c>
    </row>
    <row r="1419">
      <c r="A1419" s="2">
        <v>0.84</v>
      </c>
      <c r="B1419" s="2">
        <v>232.3</v>
      </c>
      <c r="C1419" s="2">
        <v>163.6</v>
      </c>
      <c r="D1419" s="2">
        <v>2.68</v>
      </c>
      <c r="E1419" s="2">
        <v>0.84</v>
      </c>
      <c r="F1419" s="2">
        <v>50.0</v>
      </c>
      <c r="G1419" s="4">
        <v>44460.928963391205</v>
      </c>
      <c r="H1419" s="8">
        <v>44460.0</v>
      </c>
    </row>
    <row r="1420">
      <c r="A1420" s="2">
        <v>0.83</v>
      </c>
      <c r="B1420" s="2">
        <v>232.3</v>
      </c>
      <c r="C1420" s="2">
        <v>162.0</v>
      </c>
      <c r="D1420" s="2">
        <v>2.68</v>
      </c>
      <c r="E1420" s="2">
        <v>0.84</v>
      </c>
      <c r="F1420" s="2">
        <v>50.0</v>
      </c>
      <c r="G1420" s="4">
        <v>44460.92906717592</v>
      </c>
      <c r="H1420" s="8">
        <v>44460.0</v>
      </c>
    </row>
    <row r="1421">
      <c r="A1421" s="2">
        <v>0.83</v>
      </c>
      <c r="B1421" s="2">
        <v>232.5</v>
      </c>
      <c r="C1421" s="2">
        <v>162.6</v>
      </c>
      <c r="D1421" s="2">
        <v>2.68</v>
      </c>
      <c r="E1421" s="2">
        <v>0.84</v>
      </c>
      <c r="F1421" s="2">
        <v>50.0</v>
      </c>
      <c r="G1421" s="4">
        <v>44460.92917192129</v>
      </c>
      <c r="H1421" s="8">
        <v>44460.0</v>
      </c>
    </row>
    <row r="1422">
      <c r="A1422" s="2">
        <v>0.83</v>
      </c>
      <c r="B1422" s="2">
        <v>232.5</v>
      </c>
      <c r="C1422" s="2">
        <v>160.8</v>
      </c>
      <c r="D1422" s="2">
        <v>2.68</v>
      </c>
      <c r="E1422" s="2">
        <v>0.84</v>
      </c>
      <c r="F1422" s="2">
        <v>50.0</v>
      </c>
      <c r="G1422" s="4">
        <v>44460.92928210648</v>
      </c>
      <c r="H1422" s="8">
        <v>44460.0</v>
      </c>
    </row>
    <row r="1423">
      <c r="A1423" s="2">
        <v>0.82</v>
      </c>
      <c r="B1423" s="2">
        <v>232.6</v>
      </c>
      <c r="C1423" s="2">
        <v>159.8</v>
      </c>
      <c r="D1423" s="2">
        <v>2.68</v>
      </c>
      <c r="E1423" s="2">
        <v>0.83</v>
      </c>
      <c r="F1423" s="2">
        <v>49.9</v>
      </c>
      <c r="G1423" s="4">
        <v>44460.92938934028</v>
      </c>
      <c r="H1423" s="8">
        <v>44460.0</v>
      </c>
    </row>
    <row r="1424">
      <c r="A1424" s="2">
        <v>0.82</v>
      </c>
      <c r="B1424" s="2">
        <v>232.5</v>
      </c>
      <c r="C1424" s="2">
        <v>158.7</v>
      </c>
      <c r="D1424" s="2">
        <v>2.68</v>
      </c>
      <c r="E1424" s="2">
        <v>0.83</v>
      </c>
      <c r="F1424" s="2">
        <v>49.9</v>
      </c>
      <c r="G1424" s="4">
        <v>44460.92949196759</v>
      </c>
      <c r="H1424" s="8">
        <v>44460.0</v>
      </c>
    </row>
    <row r="1425">
      <c r="A1425" s="2">
        <v>0.82</v>
      </c>
      <c r="B1425" s="2">
        <v>232.6</v>
      </c>
      <c r="C1425" s="2">
        <v>158.0</v>
      </c>
      <c r="D1425" s="2">
        <v>2.68</v>
      </c>
      <c r="E1425" s="2">
        <v>0.83</v>
      </c>
      <c r="F1425" s="2">
        <v>49.9</v>
      </c>
      <c r="G1425" s="4">
        <v>44460.92959275463</v>
      </c>
      <c r="H1425" s="8">
        <v>44460.0</v>
      </c>
    </row>
    <row r="1426">
      <c r="A1426" s="2">
        <v>0.81</v>
      </c>
      <c r="B1426" s="2">
        <v>232.5</v>
      </c>
      <c r="C1426" s="2">
        <v>157.5</v>
      </c>
      <c r="D1426" s="2">
        <v>2.68</v>
      </c>
      <c r="E1426" s="2">
        <v>0.83</v>
      </c>
      <c r="F1426" s="2">
        <v>49.9</v>
      </c>
      <c r="G1426" s="4">
        <v>44460.92969775463</v>
      </c>
      <c r="H1426" s="8">
        <v>44460.0</v>
      </c>
    </row>
    <row r="1427">
      <c r="A1427" s="2">
        <v>0.81</v>
      </c>
      <c r="B1427" s="2">
        <v>232.5</v>
      </c>
      <c r="C1427" s="2">
        <v>156.5</v>
      </c>
      <c r="D1427" s="2">
        <v>2.68</v>
      </c>
      <c r="E1427" s="2">
        <v>0.83</v>
      </c>
      <c r="F1427" s="2">
        <v>49.9</v>
      </c>
      <c r="G1427" s="4">
        <v>44460.92980513889</v>
      </c>
      <c r="H1427" s="8">
        <v>44460.0</v>
      </c>
    </row>
    <row r="1428">
      <c r="A1428" s="2">
        <v>0.81</v>
      </c>
      <c r="B1428" s="2">
        <v>233.0</v>
      </c>
      <c r="C1428" s="2">
        <v>155.6</v>
      </c>
      <c r="D1428" s="2">
        <v>2.68</v>
      </c>
      <c r="E1428" s="2">
        <v>0.83</v>
      </c>
      <c r="F1428" s="2">
        <v>49.9</v>
      </c>
      <c r="G1428" s="4">
        <v>44460.9299162963</v>
      </c>
      <c r="H1428" s="8">
        <v>44460.0</v>
      </c>
    </row>
    <row r="1429">
      <c r="A1429" s="2">
        <v>0.8</v>
      </c>
      <c r="B1429" s="2">
        <v>233.0</v>
      </c>
      <c r="C1429" s="2">
        <v>154.4</v>
      </c>
      <c r="D1429" s="2">
        <v>2.68</v>
      </c>
      <c r="E1429" s="2">
        <v>0.83</v>
      </c>
      <c r="F1429" s="2">
        <v>49.9</v>
      </c>
      <c r="G1429" s="4">
        <v>44460.930021168984</v>
      </c>
      <c r="H1429" s="8">
        <v>44460.0</v>
      </c>
    </row>
    <row r="1430">
      <c r="A1430" s="2">
        <v>0.8</v>
      </c>
      <c r="B1430" s="2">
        <v>232.9</v>
      </c>
      <c r="C1430" s="2">
        <v>154.0</v>
      </c>
      <c r="D1430" s="2">
        <v>2.68</v>
      </c>
      <c r="E1430" s="2">
        <v>0.83</v>
      </c>
      <c r="F1430" s="2">
        <v>49.9</v>
      </c>
      <c r="G1430" s="4">
        <v>44460.93012251158</v>
      </c>
      <c r="H1430" s="8">
        <v>44460.0</v>
      </c>
    </row>
    <row r="1431">
      <c r="A1431" s="2">
        <v>0.8</v>
      </c>
      <c r="B1431" s="2">
        <v>232.9</v>
      </c>
      <c r="C1431" s="2">
        <v>152.6</v>
      </c>
      <c r="D1431" s="2">
        <v>2.68</v>
      </c>
      <c r="E1431" s="2">
        <v>0.82</v>
      </c>
      <c r="F1431" s="2">
        <v>49.9</v>
      </c>
      <c r="G1431" s="4">
        <v>44460.93022306713</v>
      </c>
      <c r="H1431" s="8">
        <v>44460.0</v>
      </c>
    </row>
    <row r="1432">
      <c r="A1432" s="2">
        <v>0.79</v>
      </c>
      <c r="B1432" s="2">
        <v>232.9</v>
      </c>
      <c r="C1432" s="2">
        <v>152.2</v>
      </c>
      <c r="D1432" s="2">
        <v>2.68</v>
      </c>
      <c r="E1432" s="2">
        <v>0.82</v>
      </c>
      <c r="F1432" s="2">
        <v>50.0</v>
      </c>
      <c r="G1432" s="4">
        <v>44460.9303234838</v>
      </c>
      <c r="H1432" s="8">
        <v>44460.0</v>
      </c>
    </row>
    <row r="1433">
      <c r="A1433" s="2">
        <v>0.79</v>
      </c>
      <c r="B1433" s="2">
        <v>233.1</v>
      </c>
      <c r="C1433" s="2">
        <v>151.2</v>
      </c>
      <c r="D1433" s="2">
        <v>2.68</v>
      </c>
      <c r="E1433" s="2">
        <v>0.82</v>
      </c>
      <c r="F1433" s="2">
        <v>50.0</v>
      </c>
      <c r="G1433" s="4">
        <v>44460.930425405095</v>
      </c>
      <c r="H1433" s="8">
        <v>44460.0</v>
      </c>
    </row>
    <row r="1434">
      <c r="A1434" s="2">
        <v>0.79</v>
      </c>
      <c r="B1434" s="2">
        <v>233.2</v>
      </c>
      <c r="C1434" s="2">
        <v>150.4</v>
      </c>
      <c r="D1434" s="2">
        <v>2.68</v>
      </c>
      <c r="E1434" s="2">
        <v>0.82</v>
      </c>
      <c r="F1434" s="2">
        <v>50.0</v>
      </c>
      <c r="G1434" s="4">
        <v>44460.93052637731</v>
      </c>
      <c r="H1434" s="8">
        <v>44460.0</v>
      </c>
    </row>
    <row r="1435">
      <c r="A1435" s="2">
        <v>0.78</v>
      </c>
      <c r="B1435" s="2">
        <v>233.2</v>
      </c>
      <c r="C1435" s="2">
        <v>149.8</v>
      </c>
      <c r="D1435" s="2">
        <v>2.68</v>
      </c>
      <c r="E1435" s="2">
        <v>0.82</v>
      </c>
      <c r="F1435" s="2">
        <v>50.0</v>
      </c>
      <c r="G1435" s="4">
        <v>44460.930630891206</v>
      </c>
      <c r="H1435" s="8">
        <v>44460.0</v>
      </c>
    </row>
    <row r="1436">
      <c r="A1436" s="2">
        <v>0.78</v>
      </c>
      <c r="B1436" s="2">
        <v>233.4</v>
      </c>
      <c r="C1436" s="2">
        <v>148.2</v>
      </c>
      <c r="D1436" s="2">
        <v>2.69</v>
      </c>
      <c r="E1436" s="2">
        <v>0.82</v>
      </c>
      <c r="F1436" s="2">
        <v>50.0</v>
      </c>
      <c r="G1436" s="4">
        <v>44460.930742083336</v>
      </c>
      <c r="H1436" s="8">
        <v>44460.0</v>
      </c>
    </row>
    <row r="1437">
      <c r="A1437" s="2">
        <v>0.78</v>
      </c>
      <c r="B1437" s="2">
        <v>233.3</v>
      </c>
      <c r="C1437" s="2">
        <v>148.2</v>
      </c>
      <c r="D1437" s="2">
        <v>2.69</v>
      </c>
      <c r="E1437" s="2">
        <v>0.82</v>
      </c>
      <c r="F1437" s="2">
        <v>50.0</v>
      </c>
      <c r="G1437" s="4">
        <v>44460.93086194445</v>
      </c>
      <c r="H1437" s="8">
        <v>44460.0</v>
      </c>
    </row>
    <row r="1438">
      <c r="A1438" s="2">
        <v>0.77</v>
      </c>
      <c r="B1438" s="2">
        <v>233.3</v>
      </c>
      <c r="C1438" s="2">
        <v>146.5</v>
      </c>
      <c r="D1438" s="2">
        <v>2.69</v>
      </c>
      <c r="E1438" s="2">
        <v>0.81</v>
      </c>
      <c r="F1438" s="2">
        <v>50.0</v>
      </c>
      <c r="G1438" s="4">
        <v>44460.930966678236</v>
      </c>
      <c r="H1438" s="8">
        <v>44460.0</v>
      </c>
    </row>
    <row r="1439">
      <c r="A1439" s="2">
        <v>0.77</v>
      </c>
      <c r="B1439" s="2">
        <v>233.3</v>
      </c>
      <c r="C1439" s="2">
        <v>145.7</v>
      </c>
      <c r="D1439" s="2">
        <v>2.69</v>
      </c>
      <c r="E1439" s="2">
        <v>0.81</v>
      </c>
      <c r="F1439" s="2">
        <v>50.0</v>
      </c>
      <c r="G1439" s="4">
        <v>44460.93107980324</v>
      </c>
      <c r="H1439" s="8">
        <v>44460.0</v>
      </c>
    </row>
    <row r="1440">
      <c r="A1440" s="2">
        <v>0.77</v>
      </c>
      <c r="B1440" s="2">
        <v>233.3</v>
      </c>
      <c r="C1440" s="2">
        <v>145.0</v>
      </c>
      <c r="D1440" s="2">
        <v>2.69</v>
      </c>
      <c r="E1440" s="2">
        <v>0.81</v>
      </c>
      <c r="F1440" s="2">
        <v>50.0</v>
      </c>
      <c r="G1440" s="4">
        <v>44460.93118305555</v>
      </c>
      <c r="H1440" s="8">
        <v>44460.0</v>
      </c>
    </row>
    <row r="1441">
      <c r="A1441" s="2">
        <v>0.76</v>
      </c>
      <c r="B1441" s="2">
        <v>233.2</v>
      </c>
      <c r="C1441" s="2">
        <v>143.7</v>
      </c>
      <c r="D1441" s="2">
        <v>2.69</v>
      </c>
      <c r="E1441" s="2">
        <v>0.81</v>
      </c>
      <c r="F1441" s="2">
        <v>50.0</v>
      </c>
      <c r="G1441" s="4">
        <v>44460.93129153935</v>
      </c>
      <c r="H1441" s="8">
        <v>44460.0</v>
      </c>
    </row>
    <row r="1442">
      <c r="A1442" s="2">
        <v>0.76</v>
      </c>
      <c r="B1442" s="2">
        <v>233.2</v>
      </c>
      <c r="C1442" s="2">
        <v>144.0</v>
      </c>
      <c r="D1442" s="2">
        <v>2.69</v>
      </c>
      <c r="E1442" s="2">
        <v>0.81</v>
      </c>
      <c r="F1442" s="2">
        <v>50.0</v>
      </c>
      <c r="G1442" s="4">
        <v>44460.93140472222</v>
      </c>
      <c r="H1442" s="8">
        <v>44460.0</v>
      </c>
    </row>
    <row r="1443">
      <c r="A1443" s="2">
        <v>0.75</v>
      </c>
      <c r="B1443" s="2">
        <v>233.2</v>
      </c>
      <c r="C1443" s="2">
        <v>141.7</v>
      </c>
      <c r="D1443" s="2">
        <v>2.69</v>
      </c>
      <c r="E1443" s="2">
        <v>0.81</v>
      </c>
      <c r="F1443" s="2">
        <v>50.0</v>
      </c>
      <c r="G1443" s="4">
        <v>44460.93151195602</v>
      </c>
      <c r="H1443" s="8">
        <v>44460.0</v>
      </c>
    </row>
    <row r="1444">
      <c r="A1444" s="2">
        <v>0.75</v>
      </c>
      <c r="B1444" s="2">
        <v>233.1</v>
      </c>
      <c r="C1444" s="2">
        <v>141.4</v>
      </c>
      <c r="D1444" s="2">
        <v>2.69</v>
      </c>
      <c r="E1444" s="2">
        <v>0.81</v>
      </c>
      <c r="F1444" s="2">
        <v>49.9</v>
      </c>
      <c r="G1444" s="4">
        <v>44460.93161581019</v>
      </c>
      <c r="H1444" s="8">
        <v>44460.0</v>
      </c>
    </row>
    <row r="1445">
      <c r="A1445" s="2">
        <v>0.75</v>
      </c>
      <c r="B1445" s="2">
        <v>233.2</v>
      </c>
      <c r="C1445" s="2">
        <v>140.6</v>
      </c>
      <c r="D1445" s="2">
        <v>2.69</v>
      </c>
      <c r="E1445" s="2">
        <v>0.8</v>
      </c>
      <c r="F1445" s="2">
        <v>49.9</v>
      </c>
      <c r="G1445" s="4">
        <v>44460.93172248843</v>
      </c>
      <c r="H1445" s="8">
        <v>44460.0</v>
      </c>
    </row>
    <row r="1446">
      <c r="A1446" s="2">
        <v>0.75</v>
      </c>
      <c r="B1446" s="2">
        <v>233.0</v>
      </c>
      <c r="C1446" s="2">
        <v>139.3</v>
      </c>
      <c r="D1446" s="2">
        <v>2.69</v>
      </c>
      <c r="E1446" s="2">
        <v>0.8</v>
      </c>
      <c r="F1446" s="2">
        <v>50.0</v>
      </c>
      <c r="G1446" s="4">
        <v>44460.93183435185</v>
      </c>
      <c r="H1446" s="8">
        <v>44460.0</v>
      </c>
    </row>
    <row r="1447">
      <c r="A1447" s="2">
        <v>0.75</v>
      </c>
      <c r="B1447" s="2">
        <v>233.1</v>
      </c>
      <c r="C1447" s="2">
        <v>139.4</v>
      </c>
      <c r="D1447" s="2">
        <v>2.69</v>
      </c>
      <c r="E1447" s="2">
        <v>0.8</v>
      </c>
      <c r="F1447" s="2">
        <v>49.9</v>
      </c>
      <c r="G1447" s="4">
        <v>44460.93194918981</v>
      </c>
      <c r="H1447" s="8">
        <v>44460.0</v>
      </c>
    </row>
    <row r="1448">
      <c r="A1448" s="2">
        <v>0.74</v>
      </c>
      <c r="B1448" s="2">
        <v>233.1</v>
      </c>
      <c r="C1448" s="2">
        <v>138.0</v>
      </c>
      <c r="D1448" s="2">
        <v>2.69</v>
      </c>
      <c r="E1448" s="2">
        <v>0.8</v>
      </c>
      <c r="F1448" s="2">
        <v>49.9</v>
      </c>
      <c r="G1448" s="4">
        <v>44460.93206111111</v>
      </c>
      <c r="H1448" s="8">
        <v>44460.0</v>
      </c>
    </row>
    <row r="1449">
      <c r="A1449" s="2">
        <v>0.74</v>
      </c>
      <c r="B1449" s="2">
        <v>233.1</v>
      </c>
      <c r="C1449" s="2">
        <v>136.9</v>
      </c>
      <c r="D1449" s="2">
        <v>2.69</v>
      </c>
      <c r="E1449" s="2">
        <v>0.8</v>
      </c>
      <c r="F1449" s="2">
        <v>50.0</v>
      </c>
      <c r="G1449" s="4">
        <v>44460.932192002314</v>
      </c>
      <c r="H1449" s="8">
        <v>44460.0</v>
      </c>
    </row>
    <row r="1450">
      <c r="A1450" s="2">
        <v>0.74</v>
      </c>
      <c r="B1450" s="2">
        <v>233.1</v>
      </c>
      <c r="C1450" s="2">
        <v>136.8</v>
      </c>
      <c r="D1450" s="2">
        <v>2.69</v>
      </c>
      <c r="E1450" s="2">
        <v>0.8</v>
      </c>
      <c r="F1450" s="2">
        <v>50.0</v>
      </c>
      <c r="G1450" s="4">
        <v>44460.93229658565</v>
      </c>
      <c r="H1450" s="8">
        <v>44460.0</v>
      </c>
    </row>
    <row r="1451">
      <c r="A1451" s="2">
        <v>0.73</v>
      </c>
      <c r="B1451" s="2">
        <v>233.1</v>
      </c>
      <c r="C1451" s="2">
        <v>135.3</v>
      </c>
      <c r="D1451" s="2">
        <v>2.69</v>
      </c>
      <c r="E1451" s="2">
        <v>0.8</v>
      </c>
      <c r="F1451" s="2">
        <v>50.0</v>
      </c>
      <c r="G1451" s="4">
        <v>44460.93241017361</v>
      </c>
      <c r="H1451" s="8">
        <v>44460.0</v>
      </c>
    </row>
    <row r="1452">
      <c r="A1452" s="2">
        <v>0.73</v>
      </c>
      <c r="B1452" s="2">
        <v>233.1</v>
      </c>
      <c r="C1452" s="2">
        <v>135.1</v>
      </c>
      <c r="D1452" s="2">
        <v>2.69</v>
      </c>
      <c r="E1452" s="2">
        <v>0.8</v>
      </c>
      <c r="F1452" s="2">
        <v>50.0</v>
      </c>
      <c r="G1452" s="4">
        <v>44460.93251896991</v>
      </c>
      <c r="H1452" s="8">
        <v>44460.0</v>
      </c>
    </row>
    <row r="1453">
      <c r="A1453" s="2">
        <v>0.73</v>
      </c>
      <c r="B1453" s="2">
        <v>233.2</v>
      </c>
      <c r="C1453" s="2">
        <v>134.4</v>
      </c>
      <c r="D1453" s="2">
        <v>2.69</v>
      </c>
      <c r="E1453" s="2">
        <v>0.79</v>
      </c>
      <c r="F1453" s="2">
        <v>50.0</v>
      </c>
      <c r="G1453" s="4">
        <v>44460.932633425924</v>
      </c>
      <c r="H1453" s="8">
        <v>44460.0</v>
      </c>
    </row>
    <row r="1454">
      <c r="A1454" s="2">
        <v>0.72</v>
      </c>
      <c r="B1454" s="2">
        <v>233.1</v>
      </c>
      <c r="C1454" s="2">
        <v>133.7</v>
      </c>
      <c r="D1454" s="2">
        <v>2.69</v>
      </c>
      <c r="E1454" s="2">
        <v>0.79</v>
      </c>
      <c r="F1454" s="2">
        <v>50.0</v>
      </c>
      <c r="G1454" s="4">
        <v>44460.93273908565</v>
      </c>
      <c r="H1454" s="8">
        <v>44460.0</v>
      </c>
    </row>
    <row r="1455">
      <c r="A1455" s="2">
        <v>0.72</v>
      </c>
      <c r="B1455" s="2">
        <v>233.1</v>
      </c>
      <c r="C1455" s="2">
        <v>133.0</v>
      </c>
      <c r="D1455" s="2">
        <v>2.69</v>
      </c>
      <c r="E1455" s="2">
        <v>0.79</v>
      </c>
      <c r="F1455" s="2">
        <v>50.0</v>
      </c>
      <c r="G1455" s="4">
        <v>44460.93284060185</v>
      </c>
      <c r="H1455" s="8">
        <v>44460.0</v>
      </c>
    </row>
    <row r="1456">
      <c r="A1456" s="2">
        <v>0.72</v>
      </c>
      <c r="B1456" s="2">
        <v>233.0</v>
      </c>
      <c r="C1456" s="2">
        <v>131.9</v>
      </c>
      <c r="D1456" s="2">
        <v>2.69</v>
      </c>
      <c r="E1456" s="2">
        <v>0.79</v>
      </c>
      <c r="F1456" s="2">
        <v>50.0</v>
      </c>
      <c r="G1456" s="4">
        <v>44460.93293917824</v>
      </c>
      <c r="H1456" s="8">
        <v>44460.0</v>
      </c>
    </row>
    <row r="1457">
      <c r="A1457" s="2">
        <v>0.71</v>
      </c>
      <c r="B1457" s="2">
        <v>233.0</v>
      </c>
      <c r="C1457" s="2">
        <v>131.4</v>
      </c>
      <c r="D1457" s="2">
        <v>2.69</v>
      </c>
      <c r="E1457" s="2">
        <v>0.79</v>
      </c>
      <c r="F1457" s="2">
        <v>50.0</v>
      </c>
      <c r="G1457" s="4">
        <v>44460.933042847224</v>
      </c>
      <c r="H1457" s="8">
        <v>44460.0</v>
      </c>
    </row>
    <row r="1458">
      <c r="A1458" s="2">
        <v>0.71</v>
      </c>
      <c r="B1458" s="2">
        <v>232.9</v>
      </c>
      <c r="C1458" s="2">
        <v>130.2</v>
      </c>
      <c r="D1458" s="2">
        <v>2.69</v>
      </c>
      <c r="E1458" s="2">
        <v>0.79</v>
      </c>
      <c r="F1458" s="2">
        <v>50.0</v>
      </c>
      <c r="G1458" s="4">
        <v>44460.933142974536</v>
      </c>
      <c r="H1458" s="8">
        <v>44460.0</v>
      </c>
    </row>
    <row r="1459">
      <c r="A1459" s="2">
        <v>0.71</v>
      </c>
      <c r="B1459" s="2">
        <v>233.0</v>
      </c>
      <c r="C1459" s="2">
        <v>130.3</v>
      </c>
      <c r="D1459" s="2">
        <v>2.69</v>
      </c>
      <c r="E1459" s="2">
        <v>0.79</v>
      </c>
      <c r="F1459" s="2">
        <v>49.9</v>
      </c>
      <c r="G1459" s="4">
        <v>44460.93324407407</v>
      </c>
      <c r="H1459" s="8">
        <v>44460.0</v>
      </c>
    </row>
    <row r="1460">
      <c r="A1460" s="2">
        <v>0.71</v>
      </c>
      <c r="B1460" s="2">
        <v>233.1</v>
      </c>
      <c r="C1460" s="2">
        <v>129.0</v>
      </c>
      <c r="D1460" s="2">
        <v>2.69</v>
      </c>
      <c r="E1460" s="2">
        <v>0.78</v>
      </c>
      <c r="F1460" s="2">
        <v>50.0</v>
      </c>
      <c r="G1460" s="4">
        <v>44460.933352673615</v>
      </c>
      <c r="H1460" s="8">
        <v>44460.0</v>
      </c>
    </row>
    <row r="1461">
      <c r="A1461" s="2">
        <v>0.7</v>
      </c>
      <c r="B1461" s="2">
        <v>232.9</v>
      </c>
      <c r="C1461" s="2">
        <v>128.6</v>
      </c>
      <c r="D1461" s="2">
        <v>2.69</v>
      </c>
      <c r="E1461" s="2">
        <v>0.78</v>
      </c>
      <c r="F1461" s="2">
        <v>50.0</v>
      </c>
      <c r="G1461" s="4">
        <v>44460.93346368056</v>
      </c>
      <c r="H1461" s="8">
        <v>44460.0</v>
      </c>
    </row>
    <row r="1462">
      <c r="A1462" s="2">
        <v>0.7</v>
      </c>
      <c r="B1462" s="2">
        <v>229.4</v>
      </c>
      <c r="C1462" s="2">
        <v>127.3</v>
      </c>
      <c r="D1462" s="2">
        <v>2.69</v>
      </c>
      <c r="E1462" s="2">
        <v>0.79</v>
      </c>
      <c r="F1462" s="2">
        <v>50.0</v>
      </c>
      <c r="G1462" s="4">
        <v>44460.93356871528</v>
      </c>
      <c r="H1462" s="8">
        <v>44460.0</v>
      </c>
    </row>
    <row r="1463">
      <c r="A1463" s="2">
        <v>0.7</v>
      </c>
      <c r="B1463" s="2">
        <v>229.5</v>
      </c>
      <c r="C1463" s="2">
        <v>126.6</v>
      </c>
      <c r="D1463" s="2">
        <v>2.69</v>
      </c>
      <c r="E1463" s="2">
        <v>0.78</v>
      </c>
      <c r="F1463" s="2">
        <v>50.0</v>
      </c>
      <c r="G1463" s="4">
        <v>44460.93366988426</v>
      </c>
      <c r="H1463" s="8">
        <v>44460.0</v>
      </c>
    </row>
    <row r="1464">
      <c r="A1464" s="2">
        <v>0.7</v>
      </c>
      <c r="B1464" s="2">
        <v>229.5</v>
      </c>
      <c r="C1464" s="2">
        <v>126.3</v>
      </c>
      <c r="D1464" s="2">
        <v>2.7</v>
      </c>
      <c r="E1464" s="2">
        <v>0.79</v>
      </c>
      <c r="F1464" s="2">
        <v>50.0</v>
      </c>
      <c r="G1464" s="4">
        <v>44460.93377525463</v>
      </c>
      <c r="H1464" s="8">
        <v>44460.0</v>
      </c>
    </row>
    <row r="1465">
      <c r="A1465" s="2">
        <v>0.7</v>
      </c>
      <c r="B1465" s="2">
        <v>229.6</v>
      </c>
      <c r="C1465" s="2">
        <v>124.9</v>
      </c>
      <c r="D1465" s="2">
        <v>2.7</v>
      </c>
      <c r="E1465" s="2">
        <v>0.78</v>
      </c>
      <c r="F1465" s="2">
        <v>50.0</v>
      </c>
      <c r="G1465" s="4">
        <v>44460.93387634259</v>
      </c>
      <c r="H1465" s="8">
        <v>44460.0</v>
      </c>
    </row>
    <row r="1466">
      <c r="A1466" s="2">
        <v>0.7</v>
      </c>
      <c r="B1466" s="2">
        <v>228.8</v>
      </c>
      <c r="C1466" s="2">
        <v>125.4</v>
      </c>
      <c r="D1466" s="2">
        <v>2.7</v>
      </c>
      <c r="E1466" s="2">
        <v>0.78</v>
      </c>
      <c r="F1466" s="2">
        <v>50.0</v>
      </c>
      <c r="G1466" s="4">
        <v>44460.93397827546</v>
      </c>
      <c r="H1466" s="8">
        <v>44460.0</v>
      </c>
    </row>
    <row r="1467">
      <c r="A1467" s="2">
        <v>0.69</v>
      </c>
      <c r="B1467" s="2">
        <v>229.4</v>
      </c>
      <c r="C1467" s="2">
        <v>124.0</v>
      </c>
      <c r="D1467" s="2">
        <v>2.7</v>
      </c>
      <c r="E1467" s="2">
        <v>0.78</v>
      </c>
      <c r="F1467" s="2">
        <v>50.0</v>
      </c>
      <c r="G1467" s="4">
        <v>44460.93407898148</v>
      </c>
      <c r="H1467" s="8">
        <v>44460.0</v>
      </c>
    </row>
    <row r="1468">
      <c r="A1468" s="2">
        <v>0.7</v>
      </c>
      <c r="B1468" s="2">
        <v>229.5</v>
      </c>
      <c r="C1468" s="2">
        <v>124.7</v>
      </c>
      <c r="D1468" s="2">
        <v>2.7</v>
      </c>
      <c r="E1468" s="2">
        <v>0.78</v>
      </c>
      <c r="F1468" s="2">
        <v>50.0</v>
      </c>
      <c r="G1468" s="4">
        <v>44460.93418333333</v>
      </c>
      <c r="H1468" s="8">
        <v>44460.0</v>
      </c>
    </row>
    <row r="1469">
      <c r="A1469" s="2">
        <v>0.69</v>
      </c>
      <c r="B1469" s="2">
        <v>229.5</v>
      </c>
      <c r="C1469" s="2">
        <v>121.9</v>
      </c>
      <c r="D1469" s="2">
        <v>2.7</v>
      </c>
      <c r="E1469" s="2">
        <v>0.78</v>
      </c>
      <c r="F1469" s="2">
        <v>50.0</v>
      </c>
      <c r="G1469" s="4">
        <v>44460.93428528935</v>
      </c>
      <c r="H1469" s="8">
        <v>44460.0</v>
      </c>
    </row>
    <row r="1470">
      <c r="A1470" s="2">
        <v>0.69</v>
      </c>
      <c r="B1470" s="2">
        <v>229.2</v>
      </c>
      <c r="C1470" s="2">
        <v>122.2</v>
      </c>
      <c r="D1470" s="2">
        <v>2.7</v>
      </c>
      <c r="E1470" s="2">
        <v>0.78</v>
      </c>
      <c r="F1470" s="2">
        <v>50.0</v>
      </c>
      <c r="G1470" s="4">
        <v>44460.93438519676</v>
      </c>
      <c r="H1470" s="8">
        <v>44460.0</v>
      </c>
    </row>
    <row r="1471">
      <c r="A1471" s="2">
        <v>0.68</v>
      </c>
      <c r="B1471" s="2">
        <v>229.1</v>
      </c>
      <c r="C1471" s="2">
        <v>121.0</v>
      </c>
      <c r="D1471" s="2">
        <v>2.7</v>
      </c>
      <c r="E1471" s="2">
        <v>0.77</v>
      </c>
      <c r="F1471" s="2">
        <v>50.0</v>
      </c>
      <c r="G1471" s="4">
        <v>44460.934504641205</v>
      </c>
      <c r="H1471" s="8">
        <v>44460.0</v>
      </c>
    </row>
    <row r="1472">
      <c r="A1472" s="2">
        <v>0.68</v>
      </c>
      <c r="B1472" s="2">
        <v>229.1</v>
      </c>
      <c r="C1472" s="2">
        <v>120.4</v>
      </c>
      <c r="D1472" s="2">
        <v>2.7</v>
      </c>
      <c r="E1472" s="2">
        <v>0.77</v>
      </c>
      <c r="F1472" s="2">
        <v>49.9</v>
      </c>
      <c r="G1472" s="4">
        <v>44460.93461221065</v>
      </c>
      <c r="H1472" s="8">
        <v>44460.0</v>
      </c>
    </row>
    <row r="1473">
      <c r="A1473" s="2">
        <v>0.68</v>
      </c>
      <c r="B1473" s="2">
        <v>229.1</v>
      </c>
      <c r="C1473" s="2">
        <v>120.0</v>
      </c>
      <c r="D1473" s="2">
        <v>2.7</v>
      </c>
      <c r="E1473" s="2">
        <v>0.77</v>
      </c>
      <c r="F1473" s="2">
        <v>49.9</v>
      </c>
      <c r="G1473" s="4">
        <v>44460.93472388889</v>
      </c>
      <c r="H1473" s="8">
        <v>44460.0</v>
      </c>
    </row>
    <row r="1474">
      <c r="A1474" s="2">
        <v>0.67</v>
      </c>
      <c r="B1474" s="2">
        <v>229.7</v>
      </c>
      <c r="C1474" s="2">
        <v>118.9</v>
      </c>
      <c r="D1474" s="2">
        <v>2.7</v>
      </c>
      <c r="E1474" s="2">
        <v>0.77</v>
      </c>
      <c r="F1474" s="2">
        <v>49.9</v>
      </c>
      <c r="G1474" s="4">
        <v>44460.934833125</v>
      </c>
      <c r="H1474" s="8">
        <v>44460.0</v>
      </c>
    </row>
    <row r="1475">
      <c r="A1475" s="2">
        <v>0.67</v>
      </c>
      <c r="B1475" s="2">
        <v>232.5</v>
      </c>
      <c r="C1475" s="2">
        <v>118.7</v>
      </c>
      <c r="D1475" s="2">
        <v>2.7</v>
      </c>
      <c r="E1475" s="2">
        <v>0.76</v>
      </c>
      <c r="F1475" s="2">
        <v>49.9</v>
      </c>
      <c r="G1475" s="4">
        <v>44460.93493516203</v>
      </c>
      <c r="H1475" s="8">
        <v>44460.0</v>
      </c>
    </row>
    <row r="1476">
      <c r="A1476" s="2">
        <v>0.67</v>
      </c>
      <c r="B1476" s="2">
        <v>232.5</v>
      </c>
      <c r="C1476" s="2">
        <v>117.6</v>
      </c>
      <c r="D1476" s="2">
        <v>2.7</v>
      </c>
      <c r="E1476" s="2">
        <v>0.76</v>
      </c>
      <c r="F1476" s="2">
        <v>49.9</v>
      </c>
      <c r="G1476" s="4">
        <v>44460.935043425925</v>
      </c>
      <c r="H1476" s="8">
        <v>44460.0</v>
      </c>
    </row>
    <row r="1477">
      <c r="A1477" s="2">
        <v>0.66</v>
      </c>
      <c r="B1477" s="2">
        <v>232.6</v>
      </c>
      <c r="C1477" s="2">
        <v>116.8</v>
      </c>
      <c r="D1477" s="2">
        <v>2.7</v>
      </c>
      <c r="E1477" s="2">
        <v>0.76</v>
      </c>
      <c r="F1477" s="2">
        <v>49.9</v>
      </c>
      <c r="G1477" s="4">
        <v>44460.93515075231</v>
      </c>
      <c r="H1477" s="8">
        <v>44460.0</v>
      </c>
    </row>
    <row r="1478">
      <c r="A1478" s="2">
        <v>0.66</v>
      </c>
      <c r="B1478" s="2">
        <v>232.6</v>
      </c>
      <c r="C1478" s="2">
        <v>116.5</v>
      </c>
      <c r="D1478" s="2">
        <v>2.7</v>
      </c>
      <c r="E1478" s="2">
        <v>0.76</v>
      </c>
      <c r="F1478" s="2">
        <v>50.0</v>
      </c>
      <c r="G1478" s="4">
        <v>44460.93525163195</v>
      </c>
      <c r="H1478" s="8">
        <v>44460.0</v>
      </c>
    </row>
    <row r="1479">
      <c r="A1479" s="2">
        <v>0.66</v>
      </c>
      <c r="B1479" s="2">
        <v>232.6</v>
      </c>
      <c r="C1479" s="2">
        <v>115.1</v>
      </c>
      <c r="D1479" s="2">
        <v>2.7</v>
      </c>
      <c r="E1479" s="2">
        <v>0.75</v>
      </c>
      <c r="F1479" s="2">
        <v>50.0</v>
      </c>
      <c r="G1479" s="4">
        <v>44460.93534950231</v>
      </c>
      <c r="H1479" s="8">
        <v>44460.0</v>
      </c>
    </row>
    <row r="1480">
      <c r="A1480" s="2">
        <v>0.66</v>
      </c>
      <c r="B1480" s="2">
        <v>232.5</v>
      </c>
      <c r="C1480" s="2">
        <v>115.0</v>
      </c>
      <c r="D1480" s="2">
        <v>2.7</v>
      </c>
      <c r="E1480" s="2">
        <v>0.75</v>
      </c>
      <c r="F1480" s="2">
        <v>50.0</v>
      </c>
      <c r="G1480" s="4">
        <v>44460.93545503472</v>
      </c>
      <c r="H1480" s="8">
        <v>44460.0</v>
      </c>
    </row>
    <row r="1481">
      <c r="A1481" s="2">
        <v>0.65</v>
      </c>
      <c r="B1481" s="2">
        <v>232.6</v>
      </c>
      <c r="C1481" s="2">
        <v>114.4</v>
      </c>
      <c r="D1481" s="2">
        <v>2.7</v>
      </c>
      <c r="E1481" s="2">
        <v>0.75</v>
      </c>
      <c r="F1481" s="2">
        <v>50.0</v>
      </c>
      <c r="G1481" s="4">
        <v>44460.93556297454</v>
      </c>
      <c r="H1481" s="8">
        <v>44460.0</v>
      </c>
    </row>
    <row r="1482">
      <c r="A1482" s="2">
        <v>0.65</v>
      </c>
      <c r="B1482" s="2">
        <v>232.5</v>
      </c>
      <c r="C1482" s="2">
        <v>114.2</v>
      </c>
      <c r="D1482" s="2">
        <v>2.7</v>
      </c>
      <c r="E1482" s="2">
        <v>0.75</v>
      </c>
      <c r="F1482" s="2">
        <v>50.0</v>
      </c>
      <c r="G1482" s="4">
        <v>44460.9356679051</v>
      </c>
      <c r="H1482" s="8">
        <v>44460.0</v>
      </c>
    </row>
    <row r="1483">
      <c r="A1483" s="2">
        <v>0.65</v>
      </c>
      <c r="B1483" s="2">
        <v>232.6</v>
      </c>
      <c r="C1483" s="2">
        <v>113.1</v>
      </c>
      <c r="D1483" s="2">
        <v>2.7</v>
      </c>
      <c r="E1483" s="2">
        <v>0.75</v>
      </c>
      <c r="F1483" s="2">
        <v>50.0</v>
      </c>
      <c r="G1483" s="4">
        <v>44460.93577877315</v>
      </c>
      <c r="H1483" s="8">
        <v>44460.0</v>
      </c>
    </row>
    <row r="1484">
      <c r="A1484" s="2">
        <v>0.65</v>
      </c>
      <c r="B1484" s="2">
        <v>232.7</v>
      </c>
      <c r="C1484" s="2">
        <v>112.3</v>
      </c>
      <c r="D1484" s="2">
        <v>2.7</v>
      </c>
      <c r="E1484" s="2">
        <v>0.75</v>
      </c>
      <c r="F1484" s="2">
        <v>50.0</v>
      </c>
      <c r="G1484" s="4">
        <v>44460.9358862963</v>
      </c>
      <c r="H1484" s="8">
        <v>44460.0</v>
      </c>
    </row>
    <row r="1485">
      <c r="A1485" s="2">
        <v>0.65</v>
      </c>
      <c r="B1485" s="2">
        <v>232.7</v>
      </c>
      <c r="C1485" s="2">
        <v>112.6</v>
      </c>
      <c r="D1485" s="2">
        <v>2.7</v>
      </c>
      <c r="E1485" s="2">
        <v>0.75</v>
      </c>
      <c r="F1485" s="2">
        <v>50.0</v>
      </c>
      <c r="G1485" s="4">
        <v>44460.9359922338</v>
      </c>
      <c r="H1485" s="8">
        <v>44460.0</v>
      </c>
    </row>
    <row r="1486">
      <c r="A1486" s="2">
        <v>0.64</v>
      </c>
      <c r="B1486" s="2">
        <v>232.7</v>
      </c>
      <c r="C1486" s="2">
        <v>110.9</v>
      </c>
      <c r="D1486" s="2">
        <v>2.7</v>
      </c>
      <c r="E1486" s="2">
        <v>0.74</v>
      </c>
      <c r="F1486" s="2">
        <v>50.0</v>
      </c>
      <c r="G1486" s="4">
        <v>44460.93609949074</v>
      </c>
      <c r="H1486" s="8">
        <v>44460.0</v>
      </c>
    </row>
    <row r="1487">
      <c r="A1487" s="2">
        <v>0.64</v>
      </c>
      <c r="B1487" s="2">
        <v>232.5</v>
      </c>
      <c r="C1487" s="2">
        <v>111.3</v>
      </c>
      <c r="D1487" s="2">
        <v>2.7</v>
      </c>
      <c r="E1487" s="2">
        <v>0.74</v>
      </c>
      <c r="F1487" s="2">
        <v>50.0</v>
      </c>
      <c r="G1487" s="4">
        <v>44460.93621168981</v>
      </c>
      <c r="H1487" s="8">
        <v>44460.0</v>
      </c>
    </row>
    <row r="1488">
      <c r="A1488" s="2">
        <v>0.64</v>
      </c>
      <c r="B1488" s="2">
        <v>232.7</v>
      </c>
      <c r="C1488" s="2">
        <v>109.6</v>
      </c>
      <c r="D1488" s="2">
        <v>2.7</v>
      </c>
      <c r="E1488" s="2">
        <v>0.74</v>
      </c>
      <c r="F1488" s="2">
        <v>49.9</v>
      </c>
      <c r="G1488" s="4">
        <v>44460.9363255787</v>
      </c>
      <c r="H1488" s="8">
        <v>44460.0</v>
      </c>
    </row>
    <row r="1489">
      <c r="A1489" s="2">
        <v>0.63</v>
      </c>
      <c r="B1489" s="2">
        <v>232.7</v>
      </c>
      <c r="C1489" s="2">
        <v>109.2</v>
      </c>
      <c r="D1489" s="2">
        <v>2.7</v>
      </c>
      <c r="E1489" s="2">
        <v>0.74</v>
      </c>
      <c r="F1489" s="2">
        <v>49.9</v>
      </c>
      <c r="G1489" s="4">
        <v>44460.9364304051</v>
      </c>
      <c r="H1489" s="8">
        <v>44460.0</v>
      </c>
    </row>
    <row r="1490">
      <c r="A1490" s="2">
        <v>0.63</v>
      </c>
      <c r="B1490" s="2">
        <v>232.8</v>
      </c>
      <c r="C1490" s="2">
        <v>108.4</v>
      </c>
      <c r="D1490" s="2">
        <v>2.7</v>
      </c>
      <c r="E1490" s="2">
        <v>0.74</v>
      </c>
      <c r="F1490" s="2">
        <v>49.9</v>
      </c>
      <c r="G1490" s="4">
        <v>44460.93654109954</v>
      </c>
      <c r="H1490" s="8">
        <v>44460.0</v>
      </c>
    </row>
    <row r="1491">
      <c r="A1491" s="2">
        <v>0.63</v>
      </c>
      <c r="B1491" s="2">
        <v>233.0</v>
      </c>
      <c r="C1491" s="2">
        <v>108.0</v>
      </c>
      <c r="D1491" s="2">
        <v>2.7</v>
      </c>
      <c r="E1491" s="2">
        <v>0.73</v>
      </c>
      <c r="F1491" s="2">
        <v>49.9</v>
      </c>
      <c r="G1491" s="4">
        <v>44460.93665209491</v>
      </c>
      <c r="H1491" s="8">
        <v>44460.0</v>
      </c>
    </row>
    <row r="1492">
      <c r="A1492" s="2">
        <v>0.63</v>
      </c>
      <c r="B1492" s="2">
        <v>233.1</v>
      </c>
      <c r="C1492" s="2">
        <v>107.9</v>
      </c>
      <c r="D1492" s="2">
        <v>2.7</v>
      </c>
      <c r="E1492" s="2">
        <v>0.73</v>
      </c>
      <c r="F1492" s="2">
        <v>50.0</v>
      </c>
      <c r="G1492" s="4">
        <v>44460.936753182876</v>
      </c>
      <c r="H1492" s="8">
        <v>44460.0</v>
      </c>
    </row>
    <row r="1493">
      <c r="A1493" s="2">
        <v>0.63</v>
      </c>
      <c r="B1493" s="2">
        <v>233.2</v>
      </c>
      <c r="C1493" s="2">
        <v>106.6</v>
      </c>
      <c r="D1493" s="2">
        <v>2.7</v>
      </c>
      <c r="E1493" s="2">
        <v>0.73</v>
      </c>
      <c r="F1493" s="2">
        <v>50.0</v>
      </c>
      <c r="G1493" s="4">
        <v>44460.936861180555</v>
      </c>
      <c r="H1493" s="8">
        <v>44460.0</v>
      </c>
    </row>
    <row r="1494">
      <c r="A1494" s="2">
        <v>0.62</v>
      </c>
      <c r="B1494" s="2">
        <v>232.9</v>
      </c>
      <c r="C1494" s="2">
        <v>105.6</v>
      </c>
      <c r="D1494" s="2">
        <v>2.7</v>
      </c>
      <c r="E1494" s="2">
        <v>0.73</v>
      </c>
      <c r="F1494" s="2">
        <v>50.0</v>
      </c>
      <c r="G1494" s="4">
        <v>44460.936968368056</v>
      </c>
      <c r="H1494" s="8">
        <v>44460.0</v>
      </c>
    </row>
    <row r="1495">
      <c r="A1495" s="2">
        <v>0.62</v>
      </c>
      <c r="B1495" s="2">
        <v>233.1</v>
      </c>
      <c r="C1495" s="2">
        <v>105.4</v>
      </c>
      <c r="D1495" s="2">
        <v>2.7</v>
      </c>
      <c r="E1495" s="2">
        <v>0.73</v>
      </c>
      <c r="F1495" s="2">
        <v>50.0</v>
      </c>
      <c r="G1495" s="4">
        <v>44460.93706871528</v>
      </c>
      <c r="H1495" s="8">
        <v>44460.0</v>
      </c>
    </row>
    <row r="1496">
      <c r="A1496" s="2">
        <v>0.62</v>
      </c>
      <c r="B1496" s="2">
        <v>233.1</v>
      </c>
      <c r="C1496" s="2">
        <v>105.0</v>
      </c>
      <c r="D1496" s="2">
        <v>2.7</v>
      </c>
      <c r="E1496" s="2">
        <v>0.73</v>
      </c>
      <c r="F1496" s="2">
        <v>50.0</v>
      </c>
      <c r="G1496" s="4">
        <v>44460.937173125</v>
      </c>
      <c r="H1496" s="8">
        <v>44460.0</v>
      </c>
    </row>
    <row r="1497">
      <c r="A1497" s="2">
        <v>0.62</v>
      </c>
      <c r="B1497" s="2">
        <v>233.1</v>
      </c>
      <c r="C1497" s="2">
        <v>104.3</v>
      </c>
      <c r="D1497" s="2">
        <v>2.7</v>
      </c>
      <c r="E1497" s="2">
        <v>0.72</v>
      </c>
      <c r="F1497" s="2">
        <v>50.0</v>
      </c>
      <c r="G1497" s="4">
        <v>44460.93727784722</v>
      </c>
      <c r="H1497" s="8">
        <v>44460.0</v>
      </c>
    </row>
    <row r="1498">
      <c r="A1498" s="2">
        <v>0.62</v>
      </c>
      <c r="B1498" s="2">
        <v>233.2</v>
      </c>
      <c r="C1498" s="2">
        <v>103.8</v>
      </c>
      <c r="D1498" s="2">
        <v>2.71</v>
      </c>
      <c r="E1498" s="2">
        <v>0.72</v>
      </c>
      <c r="F1498" s="2">
        <v>50.0</v>
      </c>
      <c r="G1498" s="4">
        <v>44460.93738038195</v>
      </c>
      <c r="H1498" s="8">
        <v>44460.0</v>
      </c>
    </row>
    <row r="1499">
      <c r="A1499" s="2">
        <v>0.62</v>
      </c>
      <c r="B1499" s="2">
        <v>233.1</v>
      </c>
      <c r="C1499" s="2">
        <v>103.7</v>
      </c>
      <c r="D1499" s="2">
        <v>2.71</v>
      </c>
      <c r="E1499" s="2">
        <v>0.72</v>
      </c>
      <c r="F1499" s="2">
        <v>50.0</v>
      </c>
      <c r="G1499" s="4">
        <v>44460.93748541667</v>
      </c>
      <c r="H1499" s="8">
        <v>44460.0</v>
      </c>
    </row>
    <row r="1500">
      <c r="A1500" s="2">
        <v>0.61</v>
      </c>
      <c r="B1500" s="2">
        <v>233.1</v>
      </c>
      <c r="C1500" s="2">
        <v>102.1</v>
      </c>
      <c r="D1500" s="2">
        <v>2.71</v>
      </c>
      <c r="E1500" s="2">
        <v>0.72</v>
      </c>
      <c r="F1500" s="2">
        <v>50.0</v>
      </c>
      <c r="G1500" s="4">
        <v>44460.93759307871</v>
      </c>
      <c r="H1500" s="8">
        <v>44460.0</v>
      </c>
    </row>
    <row r="1501">
      <c r="A1501" s="2">
        <v>0.61</v>
      </c>
      <c r="B1501" s="2">
        <v>233.0</v>
      </c>
      <c r="C1501" s="2">
        <v>102.7</v>
      </c>
      <c r="D1501" s="2">
        <v>2.71</v>
      </c>
      <c r="E1501" s="2">
        <v>0.72</v>
      </c>
      <c r="F1501" s="2">
        <v>50.0</v>
      </c>
      <c r="G1501" s="4">
        <v>44460.93770358796</v>
      </c>
      <c r="H1501" s="8">
        <v>44460.0</v>
      </c>
    </row>
    <row r="1502">
      <c r="A1502" s="2">
        <v>0.61</v>
      </c>
      <c r="B1502" s="2">
        <v>233.0</v>
      </c>
      <c r="C1502" s="2">
        <v>101.2</v>
      </c>
      <c r="D1502" s="2">
        <v>2.71</v>
      </c>
      <c r="E1502" s="2">
        <v>0.72</v>
      </c>
      <c r="F1502" s="2">
        <v>50.0</v>
      </c>
      <c r="G1502" s="4">
        <v>44460.937813136574</v>
      </c>
      <c r="H1502" s="8">
        <v>44460.0</v>
      </c>
    </row>
    <row r="1503">
      <c r="A1503" s="2">
        <v>0.61</v>
      </c>
      <c r="B1503" s="2">
        <v>232.9</v>
      </c>
      <c r="C1503" s="2">
        <v>100.7</v>
      </c>
      <c r="D1503" s="2">
        <v>2.71</v>
      </c>
      <c r="E1503" s="2">
        <v>0.71</v>
      </c>
      <c r="F1503" s="2">
        <v>50.0</v>
      </c>
      <c r="G1503" s="4">
        <v>44460.93792378472</v>
      </c>
      <c r="H1503" s="8">
        <v>44460.0</v>
      </c>
    </row>
    <row r="1504">
      <c r="A1504" s="2">
        <v>0.6</v>
      </c>
      <c r="B1504" s="2">
        <v>232.9</v>
      </c>
      <c r="C1504" s="2">
        <v>100.8</v>
      </c>
      <c r="D1504" s="2">
        <v>2.71</v>
      </c>
      <c r="E1504" s="2">
        <v>0.72</v>
      </c>
      <c r="F1504" s="2">
        <v>50.0</v>
      </c>
      <c r="G1504" s="4">
        <v>44460.938028495366</v>
      </c>
      <c r="H1504" s="8">
        <v>44460.0</v>
      </c>
    </row>
    <row r="1505">
      <c r="A1505" s="2">
        <v>0.6</v>
      </c>
      <c r="B1505" s="2">
        <v>232.9</v>
      </c>
      <c r="C1505" s="2">
        <v>100.1</v>
      </c>
      <c r="D1505" s="2">
        <v>2.71</v>
      </c>
      <c r="E1505" s="2">
        <v>0.71</v>
      </c>
      <c r="F1505" s="2">
        <v>50.0</v>
      </c>
      <c r="G1505" s="4">
        <v>44460.93813444444</v>
      </c>
      <c r="H1505" s="8">
        <v>44460.0</v>
      </c>
    </row>
    <row r="1506">
      <c r="A1506" s="2">
        <v>0.6</v>
      </c>
      <c r="B1506" s="2">
        <v>233.0</v>
      </c>
      <c r="C1506" s="2">
        <v>99.7</v>
      </c>
      <c r="D1506" s="2">
        <v>2.71</v>
      </c>
      <c r="E1506" s="2">
        <v>0.71</v>
      </c>
      <c r="F1506" s="2">
        <v>50.0</v>
      </c>
      <c r="G1506" s="4">
        <v>44460.93824293981</v>
      </c>
      <c r="H1506" s="8">
        <v>44460.0</v>
      </c>
    </row>
    <row r="1507">
      <c r="A1507" s="2">
        <v>0.6</v>
      </c>
      <c r="B1507" s="2">
        <v>232.9</v>
      </c>
      <c r="C1507" s="2">
        <v>98.7</v>
      </c>
      <c r="D1507" s="2">
        <v>2.71</v>
      </c>
      <c r="E1507" s="2">
        <v>0.71</v>
      </c>
      <c r="F1507" s="2">
        <v>50.0</v>
      </c>
      <c r="G1507" s="4">
        <v>44460.938364525464</v>
      </c>
      <c r="H1507" s="8">
        <v>44460.0</v>
      </c>
    </row>
    <row r="1508">
      <c r="A1508" s="2">
        <v>0.6</v>
      </c>
      <c r="B1508" s="2">
        <v>232.8</v>
      </c>
      <c r="C1508" s="2">
        <v>98.2</v>
      </c>
      <c r="D1508" s="2">
        <v>2.71</v>
      </c>
      <c r="E1508" s="2">
        <v>0.71</v>
      </c>
      <c r="F1508" s="2">
        <v>49.9</v>
      </c>
      <c r="G1508" s="4">
        <v>44460.93847071759</v>
      </c>
      <c r="H1508" s="8">
        <v>44460.0</v>
      </c>
    </row>
    <row r="1509">
      <c r="A1509" s="2">
        <v>0.59</v>
      </c>
      <c r="B1509" s="2">
        <v>233.1</v>
      </c>
      <c r="C1509" s="2">
        <v>97.7</v>
      </c>
      <c r="D1509" s="2">
        <v>2.71</v>
      </c>
      <c r="E1509" s="2">
        <v>0.71</v>
      </c>
      <c r="F1509" s="2">
        <v>49.9</v>
      </c>
      <c r="G1509" s="4">
        <v>44460.938581423616</v>
      </c>
      <c r="H1509" s="8">
        <v>44460.0</v>
      </c>
    </row>
    <row r="1510">
      <c r="A1510" s="2">
        <v>0.59</v>
      </c>
      <c r="B1510" s="2">
        <v>233.0</v>
      </c>
      <c r="C1510" s="2">
        <v>96.6</v>
      </c>
      <c r="D1510" s="2">
        <v>2.71</v>
      </c>
      <c r="E1510" s="2">
        <v>0.7</v>
      </c>
      <c r="F1510" s="2">
        <v>49.9</v>
      </c>
      <c r="G1510" s="4">
        <v>44460.9386890162</v>
      </c>
      <c r="H1510" s="8">
        <v>44460.0</v>
      </c>
    </row>
    <row r="1511">
      <c r="A1511" s="2">
        <v>0.59</v>
      </c>
      <c r="B1511" s="2">
        <v>233.0</v>
      </c>
      <c r="C1511" s="2">
        <v>97.1</v>
      </c>
      <c r="D1511" s="2">
        <v>2.71</v>
      </c>
      <c r="E1511" s="2">
        <v>0.7</v>
      </c>
      <c r="F1511" s="2">
        <v>49.9</v>
      </c>
      <c r="G1511" s="4">
        <v>44460.93879189815</v>
      </c>
      <c r="H1511" s="8">
        <v>44460.0</v>
      </c>
    </row>
    <row r="1512">
      <c r="A1512" s="2">
        <v>0.59</v>
      </c>
      <c r="B1512" s="2">
        <v>233.1</v>
      </c>
      <c r="C1512" s="2">
        <v>96.0</v>
      </c>
      <c r="D1512" s="2">
        <v>2.71</v>
      </c>
      <c r="E1512" s="2">
        <v>0.7</v>
      </c>
      <c r="F1512" s="2">
        <v>50.0</v>
      </c>
      <c r="G1512" s="4">
        <v>44460.93889302084</v>
      </c>
      <c r="H1512" s="8">
        <v>44460.0</v>
      </c>
    </row>
    <row r="1513">
      <c r="A1513" s="2">
        <v>0.59</v>
      </c>
      <c r="B1513" s="2">
        <v>233.2</v>
      </c>
      <c r="C1513" s="2">
        <v>95.9</v>
      </c>
      <c r="D1513" s="2">
        <v>2.71</v>
      </c>
      <c r="E1513" s="2">
        <v>0.7</v>
      </c>
      <c r="F1513" s="2">
        <v>50.0</v>
      </c>
      <c r="G1513" s="4">
        <v>44460.93899361111</v>
      </c>
      <c r="H1513" s="8">
        <v>44460.0</v>
      </c>
    </row>
    <row r="1514">
      <c r="A1514" s="2">
        <v>0.58</v>
      </c>
      <c r="B1514" s="2">
        <v>233.2</v>
      </c>
      <c r="C1514" s="2">
        <v>94.8</v>
      </c>
      <c r="D1514" s="2">
        <v>2.71</v>
      </c>
      <c r="E1514" s="2">
        <v>0.69</v>
      </c>
      <c r="F1514" s="2">
        <v>50.0</v>
      </c>
      <c r="G1514" s="4">
        <v>44460.939100567135</v>
      </c>
      <c r="H1514" s="8">
        <v>44460.0</v>
      </c>
    </row>
    <row r="1515">
      <c r="A1515" s="2">
        <v>0.58</v>
      </c>
      <c r="B1515" s="2">
        <v>233.3</v>
      </c>
      <c r="C1515" s="2">
        <v>94.6</v>
      </c>
      <c r="D1515" s="2">
        <v>2.71</v>
      </c>
      <c r="E1515" s="2">
        <v>0.69</v>
      </c>
      <c r="F1515" s="2">
        <v>50.0</v>
      </c>
      <c r="G1515" s="4">
        <v>44460.93920685185</v>
      </c>
      <c r="H1515" s="8">
        <v>44460.0</v>
      </c>
    </row>
    <row r="1516">
      <c r="A1516" s="2">
        <v>0.58</v>
      </c>
      <c r="B1516" s="2">
        <v>233.3</v>
      </c>
      <c r="C1516" s="2">
        <v>94.0</v>
      </c>
      <c r="D1516" s="2">
        <v>2.71</v>
      </c>
      <c r="E1516" s="2">
        <v>0.69</v>
      </c>
      <c r="F1516" s="2">
        <v>50.0</v>
      </c>
      <c r="G1516" s="4">
        <v>44460.93930975694</v>
      </c>
      <c r="H1516" s="8">
        <v>44460.0</v>
      </c>
    </row>
    <row r="1517">
      <c r="A1517" s="2">
        <v>0.58</v>
      </c>
      <c r="B1517" s="2">
        <v>233.2</v>
      </c>
      <c r="C1517" s="2">
        <v>93.2</v>
      </c>
      <c r="D1517" s="2">
        <v>2.71</v>
      </c>
      <c r="E1517" s="2">
        <v>0.69</v>
      </c>
      <c r="F1517" s="2">
        <v>50.0</v>
      </c>
      <c r="G1517" s="4">
        <v>44460.939414189816</v>
      </c>
      <c r="H1517" s="8">
        <v>44460.0</v>
      </c>
    </row>
    <row r="1518">
      <c r="A1518" s="2">
        <v>0.58</v>
      </c>
      <c r="B1518" s="2">
        <v>233.2</v>
      </c>
      <c r="C1518" s="2">
        <v>92.8</v>
      </c>
      <c r="D1518" s="2">
        <v>2.71</v>
      </c>
      <c r="E1518" s="2">
        <v>0.69</v>
      </c>
      <c r="F1518" s="2">
        <v>50.0</v>
      </c>
      <c r="G1518" s="4">
        <v>44460.93952506944</v>
      </c>
      <c r="H1518" s="8">
        <v>44460.0</v>
      </c>
    </row>
    <row r="1519">
      <c r="A1519" s="2">
        <v>0.58</v>
      </c>
      <c r="B1519" s="2">
        <v>233.3</v>
      </c>
      <c r="C1519" s="2">
        <v>91.9</v>
      </c>
      <c r="D1519" s="2">
        <v>2.71</v>
      </c>
      <c r="E1519" s="2">
        <v>0.68</v>
      </c>
      <c r="F1519" s="2">
        <v>50.0</v>
      </c>
      <c r="G1519" s="4">
        <v>44460.93963496528</v>
      </c>
      <c r="H1519" s="8">
        <v>44460.0</v>
      </c>
    </row>
    <row r="1520">
      <c r="A1520" s="2">
        <v>0.58</v>
      </c>
      <c r="B1520" s="2">
        <v>233.2</v>
      </c>
      <c r="C1520" s="2">
        <v>91.9</v>
      </c>
      <c r="D1520" s="2">
        <v>2.71</v>
      </c>
      <c r="E1520" s="2">
        <v>0.68</v>
      </c>
      <c r="F1520" s="2">
        <v>50.0</v>
      </c>
      <c r="G1520" s="4">
        <v>44460.93973747685</v>
      </c>
      <c r="H1520" s="8">
        <v>44460.0</v>
      </c>
    </row>
    <row r="1521">
      <c r="A1521" s="2">
        <v>0.57</v>
      </c>
      <c r="B1521" s="2">
        <v>233.1</v>
      </c>
      <c r="C1521" s="2">
        <v>91.0</v>
      </c>
      <c r="D1521" s="2">
        <v>2.71</v>
      </c>
      <c r="E1521" s="2">
        <v>0.68</v>
      </c>
      <c r="F1521" s="2">
        <v>49.9</v>
      </c>
      <c r="G1521" s="4">
        <v>44460.93985678241</v>
      </c>
      <c r="H1521" s="8">
        <v>44460.0</v>
      </c>
    </row>
    <row r="1522">
      <c r="A1522" s="2">
        <v>0.57</v>
      </c>
      <c r="B1522" s="2">
        <v>233.2</v>
      </c>
      <c r="C1522" s="2">
        <v>90.6</v>
      </c>
      <c r="D1522" s="2">
        <v>2.71</v>
      </c>
      <c r="E1522" s="2">
        <v>0.68</v>
      </c>
      <c r="F1522" s="2">
        <v>50.0</v>
      </c>
      <c r="G1522" s="4">
        <v>44460.93995762731</v>
      </c>
      <c r="H1522" s="8">
        <v>44460.0</v>
      </c>
    </row>
    <row r="1523">
      <c r="A1523" s="2">
        <v>0.57</v>
      </c>
      <c r="B1523" s="2">
        <v>232.9</v>
      </c>
      <c r="C1523" s="2">
        <v>90.1</v>
      </c>
      <c r="D1523" s="2">
        <v>2.71</v>
      </c>
      <c r="E1523" s="2">
        <v>0.68</v>
      </c>
      <c r="F1523" s="2">
        <v>49.9</v>
      </c>
      <c r="G1523" s="4">
        <v>44460.940063483795</v>
      </c>
      <c r="H1523" s="8">
        <v>44460.0</v>
      </c>
    </row>
    <row r="1524">
      <c r="A1524" s="2">
        <v>0.57</v>
      </c>
      <c r="B1524" s="2">
        <v>232.8</v>
      </c>
      <c r="C1524" s="2">
        <v>89.6</v>
      </c>
      <c r="D1524" s="2">
        <v>2.71</v>
      </c>
      <c r="E1524" s="2">
        <v>0.68</v>
      </c>
      <c r="F1524" s="2">
        <v>49.9</v>
      </c>
      <c r="G1524" s="4">
        <v>44460.940176793985</v>
      </c>
      <c r="H1524" s="8">
        <v>44460.0</v>
      </c>
    </row>
    <row r="1525">
      <c r="A1525" s="2">
        <v>0.57</v>
      </c>
      <c r="B1525" s="2">
        <v>232.8</v>
      </c>
      <c r="C1525" s="2">
        <v>89.4</v>
      </c>
      <c r="D1525" s="2">
        <v>2.71</v>
      </c>
      <c r="E1525" s="2">
        <v>0.68</v>
      </c>
      <c r="F1525" s="2">
        <v>50.0</v>
      </c>
      <c r="G1525" s="4">
        <v>44460.94028569444</v>
      </c>
      <c r="H1525" s="8">
        <v>44460.0</v>
      </c>
    </row>
    <row r="1526">
      <c r="A1526" s="2">
        <v>0.56</v>
      </c>
      <c r="B1526" s="2">
        <v>232.8</v>
      </c>
      <c r="C1526" s="2">
        <v>88.6</v>
      </c>
      <c r="D1526" s="2">
        <v>2.71</v>
      </c>
      <c r="E1526" s="2">
        <v>0.67</v>
      </c>
      <c r="F1526" s="2">
        <v>50.0</v>
      </c>
      <c r="G1526" s="4">
        <v>44460.94039290509</v>
      </c>
      <c r="H1526" s="8">
        <v>44460.0</v>
      </c>
    </row>
    <row r="1527">
      <c r="A1527" s="2">
        <v>0.8</v>
      </c>
      <c r="B1527" s="2">
        <v>232.6</v>
      </c>
      <c r="C1527" s="2">
        <v>154.0</v>
      </c>
      <c r="D1527" s="2">
        <v>2.71</v>
      </c>
      <c r="E1527" s="2">
        <v>0.83</v>
      </c>
      <c r="F1527" s="2">
        <v>50.0</v>
      </c>
      <c r="G1527" s="4">
        <v>44460.94049865741</v>
      </c>
      <c r="H1527" s="8">
        <v>44460.0</v>
      </c>
    </row>
    <row r="1528">
      <c r="A1528" s="2">
        <v>0.47</v>
      </c>
      <c r="B1528" s="2">
        <v>232.9</v>
      </c>
      <c r="C1528" s="2">
        <v>58.2</v>
      </c>
      <c r="D1528" s="2">
        <v>2.71</v>
      </c>
      <c r="E1528" s="2">
        <v>0.53</v>
      </c>
      <c r="F1528" s="2">
        <v>50.0</v>
      </c>
      <c r="G1528" s="4">
        <v>44460.94059561343</v>
      </c>
      <c r="H1528" s="8">
        <v>44460.0</v>
      </c>
    </row>
    <row r="1529">
      <c r="A1529" s="2">
        <v>0.48</v>
      </c>
      <c r="B1529" s="2">
        <v>232.9</v>
      </c>
      <c r="C1529" s="2">
        <v>60.4</v>
      </c>
      <c r="D1529" s="2">
        <v>2.71</v>
      </c>
      <c r="E1529" s="2">
        <v>0.54</v>
      </c>
      <c r="F1529" s="2">
        <v>50.0</v>
      </c>
      <c r="G1529" s="4">
        <v>44460.9406997801</v>
      </c>
      <c r="H1529" s="8">
        <v>44460.0</v>
      </c>
    </row>
    <row r="1530">
      <c r="A1530" s="2">
        <v>0.48</v>
      </c>
      <c r="B1530" s="2">
        <v>232.9</v>
      </c>
      <c r="C1530" s="2">
        <v>62.5</v>
      </c>
      <c r="D1530" s="2">
        <v>2.71</v>
      </c>
      <c r="E1530" s="2">
        <v>0.56</v>
      </c>
      <c r="F1530" s="2">
        <v>50.0</v>
      </c>
      <c r="G1530" s="4">
        <v>44460.940809120366</v>
      </c>
      <c r="H1530" s="8">
        <v>44460.0</v>
      </c>
    </row>
    <row r="1531">
      <c r="A1531" s="2">
        <v>0.48</v>
      </c>
      <c r="B1531" s="2">
        <v>232.8</v>
      </c>
      <c r="C1531" s="2">
        <v>62.6</v>
      </c>
      <c r="D1531" s="2">
        <v>2.71</v>
      </c>
      <c r="E1531" s="2">
        <v>0.56</v>
      </c>
      <c r="F1531" s="2">
        <v>50.0</v>
      </c>
      <c r="G1531" s="4">
        <v>44460.940910046294</v>
      </c>
      <c r="H1531" s="8">
        <v>44460.0</v>
      </c>
    </row>
    <row r="1532">
      <c r="A1532" s="2">
        <v>0.49</v>
      </c>
      <c r="B1532" s="2">
        <v>232.7</v>
      </c>
      <c r="C1532" s="2">
        <v>63.6</v>
      </c>
      <c r="D1532" s="2">
        <v>2.71</v>
      </c>
      <c r="E1532" s="2">
        <v>0.56</v>
      </c>
      <c r="F1532" s="2">
        <v>49.9</v>
      </c>
      <c r="G1532" s="4">
        <v>44460.94101149305</v>
      </c>
      <c r="H1532" s="8">
        <v>44460.0</v>
      </c>
    </row>
    <row r="1533">
      <c r="A1533" s="2">
        <v>0.48</v>
      </c>
      <c r="B1533" s="2">
        <v>232.5</v>
      </c>
      <c r="C1533" s="2">
        <v>63.2</v>
      </c>
      <c r="D1533" s="2">
        <v>2.71</v>
      </c>
      <c r="E1533" s="2">
        <v>0.56</v>
      </c>
      <c r="F1533" s="2">
        <v>49.9</v>
      </c>
      <c r="G1533" s="4">
        <v>44460.94111039352</v>
      </c>
      <c r="H1533" s="8">
        <v>44460.0</v>
      </c>
    </row>
    <row r="1534">
      <c r="A1534" s="2">
        <v>0.49</v>
      </c>
      <c r="B1534" s="2">
        <v>232.6</v>
      </c>
      <c r="C1534" s="2">
        <v>64.0</v>
      </c>
      <c r="D1534" s="2">
        <v>2.71</v>
      </c>
      <c r="E1534" s="2">
        <v>0.56</v>
      </c>
      <c r="F1534" s="2">
        <v>49.9</v>
      </c>
      <c r="G1534" s="4">
        <v>44460.941213032405</v>
      </c>
      <c r="H1534" s="8">
        <v>44460.0</v>
      </c>
    </row>
    <row r="1535">
      <c r="A1535" s="2">
        <v>0.49</v>
      </c>
      <c r="B1535" s="2">
        <v>232.6</v>
      </c>
      <c r="C1535" s="2">
        <v>63.6</v>
      </c>
      <c r="D1535" s="2">
        <v>2.71</v>
      </c>
      <c r="E1535" s="2">
        <v>0.56</v>
      </c>
      <c r="F1535" s="2">
        <v>49.9</v>
      </c>
      <c r="G1535" s="4">
        <v>44460.94132569444</v>
      </c>
      <c r="H1535" s="8">
        <v>44460.0</v>
      </c>
    </row>
    <row r="1536">
      <c r="A1536" s="2">
        <v>0.49</v>
      </c>
      <c r="B1536" s="2">
        <v>232.6</v>
      </c>
      <c r="C1536" s="2">
        <v>63.6</v>
      </c>
      <c r="D1536" s="2">
        <v>2.71</v>
      </c>
      <c r="E1536" s="2">
        <v>0.56</v>
      </c>
      <c r="F1536" s="2">
        <v>49.9</v>
      </c>
      <c r="G1536" s="4">
        <v>44460.94142880787</v>
      </c>
      <c r="H1536" s="8">
        <v>44460.0</v>
      </c>
    </row>
    <row r="1537">
      <c r="A1537" s="2">
        <v>0.48</v>
      </c>
      <c r="B1537" s="2">
        <v>232.4</v>
      </c>
      <c r="C1537" s="2">
        <v>63.3</v>
      </c>
      <c r="D1537" s="2">
        <v>2.71</v>
      </c>
      <c r="E1537" s="2">
        <v>0.56</v>
      </c>
      <c r="F1537" s="2">
        <v>49.9</v>
      </c>
      <c r="G1537" s="4">
        <v>44460.94152984954</v>
      </c>
      <c r="H1537" s="8">
        <v>44460.0</v>
      </c>
    </row>
    <row r="1538">
      <c r="A1538" s="2">
        <v>0.49</v>
      </c>
      <c r="B1538" s="2">
        <v>232.6</v>
      </c>
      <c r="C1538" s="2">
        <v>63.8</v>
      </c>
      <c r="D1538" s="2">
        <v>2.71</v>
      </c>
      <c r="E1538" s="2">
        <v>0.56</v>
      </c>
      <c r="F1538" s="2">
        <v>50.0</v>
      </c>
      <c r="G1538" s="4">
        <v>44460.941628113425</v>
      </c>
      <c r="H1538" s="8">
        <v>44460.0</v>
      </c>
    </row>
    <row r="1539">
      <c r="A1539" s="2">
        <v>0.48</v>
      </c>
      <c r="B1539" s="2">
        <v>232.5</v>
      </c>
      <c r="C1539" s="2">
        <v>62.4</v>
      </c>
      <c r="D1539" s="2">
        <v>2.71</v>
      </c>
      <c r="E1539" s="2">
        <v>0.56</v>
      </c>
      <c r="F1539" s="2">
        <v>50.0</v>
      </c>
      <c r="G1539" s="4">
        <v>44460.94178988426</v>
      </c>
      <c r="H1539" s="8">
        <v>44460.0</v>
      </c>
    </row>
    <row r="1540">
      <c r="A1540" s="2">
        <v>0.48</v>
      </c>
      <c r="B1540" s="2">
        <v>232.6</v>
      </c>
      <c r="C1540" s="2">
        <v>62.1</v>
      </c>
      <c r="D1540" s="2">
        <v>2.71</v>
      </c>
      <c r="E1540" s="2">
        <v>0.56</v>
      </c>
      <c r="F1540" s="2">
        <v>50.0</v>
      </c>
      <c r="G1540" s="4">
        <v>44460.9418934375</v>
      </c>
      <c r="H1540" s="8">
        <v>44460.0</v>
      </c>
    </row>
    <row r="1541">
      <c r="A1541" s="2">
        <v>0.48</v>
      </c>
      <c r="B1541" s="2">
        <v>232.6</v>
      </c>
      <c r="C1541" s="2">
        <v>61.9</v>
      </c>
      <c r="D1541" s="2">
        <v>2.71</v>
      </c>
      <c r="E1541" s="2">
        <v>0.55</v>
      </c>
      <c r="F1541" s="2">
        <v>50.0</v>
      </c>
      <c r="G1541" s="4">
        <v>44460.94199900463</v>
      </c>
      <c r="H1541" s="8">
        <v>44460.0</v>
      </c>
    </row>
    <row r="1542">
      <c r="A1542" s="2">
        <v>0.48</v>
      </c>
      <c r="B1542" s="2">
        <v>232.6</v>
      </c>
      <c r="C1542" s="2">
        <v>62.2</v>
      </c>
      <c r="D1542" s="2">
        <v>2.71</v>
      </c>
      <c r="E1542" s="2">
        <v>0.55</v>
      </c>
      <c r="F1542" s="2">
        <v>50.0</v>
      </c>
      <c r="G1542" s="4">
        <v>44460.94209761574</v>
      </c>
      <c r="H1542" s="8">
        <v>44460.0</v>
      </c>
    </row>
    <row r="1543">
      <c r="A1543" s="2">
        <v>0.48</v>
      </c>
      <c r="B1543" s="2">
        <v>232.7</v>
      </c>
      <c r="C1543" s="2">
        <v>61.7</v>
      </c>
      <c r="D1543" s="2">
        <v>2.72</v>
      </c>
      <c r="E1543" s="2">
        <v>0.55</v>
      </c>
      <c r="F1543" s="2">
        <v>50.0</v>
      </c>
      <c r="G1543" s="4">
        <v>44460.94219608796</v>
      </c>
      <c r="H1543" s="8">
        <v>44460.0</v>
      </c>
    </row>
    <row r="1544">
      <c r="A1544" s="2">
        <v>0.48</v>
      </c>
      <c r="B1544" s="2">
        <v>232.7</v>
      </c>
      <c r="C1544" s="2">
        <v>61.5</v>
      </c>
      <c r="D1544" s="2">
        <v>2.72</v>
      </c>
      <c r="E1544" s="2">
        <v>0.55</v>
      </c>
      <c r="F1544" s="2">
        <v>50.0</v>
      </c>
      <c r="G1544" s="4">
        <v>44460.942298078706</v>
      </c>
      <c r="H1544" s="8">
        <v>44460.0</v>
      </c>
    </row>
    <row r="1545">
      <c r="A1545" s="2">
        <v>0.48</v>
      </c>
      <c r="B1545" s="2">
        <v>232.6</v>
      </c>
      <c r="C1545" s="2">
        <v>61.0</v>
      </c>
      <c r="D1545" s="2">
        <v>2.72</v>
      </c>
      <c r="E1545" s="2">
        <v>0.55</v>
      </c>
      <c r="F1545" s="2">
        <v>50.0</v>
      </c>
      <c r="G1545" s="4">
        <v>44460.94239797453</v>
      </c>
      <c r="H1545" s="8">
        <v>44460.0</v>
      </c>
    </row>
    <row r="1546">
      <c r="A1546" s="2">
        <v>0.48</v>
      </c>
      <c r="B1546" s="2">
        <v>232.6</v>
      </c>
      <c r="C1546" s="2">
        <v>61.4</v>
      </c>
      <c r="D1546" s="2">
        <v>2.72</v>
      </c>
      <c r="E1546" s="2">
        <v>0.55</v>
      </c>
      <c r="F1546" s="2">
        <v>50.0</v>
      </c>
      <c r="G1546" s="4">
        <v>44460.94249997685</v>
      </c>
      <c r="H1546" s="8">
        <v>44460.0</v>
      </c>
    </row>
    <row r="1547">
      <c r="A1547" s="2">
        <v>0.48</v>
      </c>
      <c r="B1547" s="2">
        <v>232.5</v>
      </c>
      <c r="C1547" s="2">
        <v>60.8</v>
      </c>
      <c r="D1547" s="2">
        <v>2.72</v>
      </c>
      <c r="E1547" s="2">
        <v>0.55</v>
      </c>
      <c r="F1547" s="2">
        <v>49.9</v>
      </c>
      <c r="G1547" s="4">
        <v>44460.94260246528</v>
      </c>
      <c r="H1547" s="8">
        <v>44460.0</v>
      </c>
    </row>
    <row r="1548">
      <c r="A1548" s="2">
        <v>0.48</v>
      </c>
      <c r="B1548" s="2">
        <v>232.6</v>
      </c>
      <c r="C1548" s="2">
        <v>60.9</v>
      </c>
      <c r="D1548" s="2">
        <v>2.72</v>
      </c>
      <c r="E1548" s="2">
        <v>0.55</v>
      </c>
      <c r="F1548" s="2">
        <v>49.9</v>
      </c>
      <c r="G1548" s="4">
        <v>44460.94270381944</v>
      </c>
      <c r="H1548" s="8">
        <v>44460.0</v>
      </c>
    </row>
    <row r="1549">
      <c r="A1549" s="2">
        <v>0.47</v>
      </c>
      <c r="B1549" s="2">
        <v>232.8</v>
      </c>
      <c r="C1549" s="2">
        <v>60.2</v>
      </c>
      <c r="D1549" s="2">
        <v>2.72</v>
      </c>
      <c r="E1549" s="2">
        <v>0.54</v>
      </c>
      <c r="F1549" s="2">
        <v>49.9</v>
      </c>
      <c r="G1549" s="4">
        <v>44460.942809976856</v>
      </c>
      <c r="H1549" s="8">
        <v>44460.0</v>
      </c>
    </row>
    <row r="1550">
      <c r="A1550" s="2">
        <v>0.48</v>
      </c>
      <c r="B1550" s="2">
        <v>232.7</v>
      </c>
      <c r="C1550" s="2">
        <v>60.3</v>
      </c>
      <c r="D1550" s="2">
        <v>2.72</v>
      </c>
      <c r="E1550" s="2">
        <v>0.54</v>
      </c>
      <c r="F1550" s="2">
        <v>49.9</v>
      </c>
      <c r="G1550" s="4">
        <v>44460.94292199074</v>
      </c>
      <c r="H1550" s="8">
        <v>44460.0</v>
      </c>
    </row>
    <row r="1551">
      <c r="A1551" s="2">
        <v>0.47</v>
      </c>
      <c r="B1551" s="2">
        <v>232.7</v>
      </c>
      <c r="C1551" s="2">
        <v>59.9</v>
      </c>
      <c r="D1551" s="2">
        <v>2.72</v>
      </c>
      <c r="E1551" s="2">
        <v>0.54</v>
      </c>
      <c r="F1551" s="2">
        <v>49.9</v>
      </c>
      <c r="G1551" s="4">
        <v>44460.94303032407</v>
      </c>
      <c r="H1551" s="8">
        <v>44460.0</v>
      </c>
    </row>
    <row r="1552">
      <c r="A1552" s="2">
        <v>0.47</v>
      </c>
      <c r="B1552" s="2">
        <v>232.7</v>
      </c>
      <c r="C1552" s="2">
        <v>59.4</v>
      </c>
      <c r="D1552" s="2">
        <v>2.72</v>
      </c>
      <c r="E1552" s="2">
        <v>0.54</v>
      </c>
      <c r="F1552" s="2">
        <v>50.0</v>
      </c>
      <c r="G1552" s="4">
        <v>44460.94313996528</v>
      </c>
      <c r="H1552" s="8">
        <v>44460.0</v>
      </c>
    </row>
    <row r="1553">
      <c r="A1553" s="2">
        <v>0.47</v>
      </c>
      <c r="B1553" s="2">
        <v>232.8</v>
      </c>
      <c r="C1553" s="2">
        <v>59.8</v>
      </c>
      <c r="D1553" s="2">
        <v>2.72</v>
      </c>
      <c r="E1553" s="2">
        <v>0.54</v>
      </c>
      <c r="F1553" s="2">
        <v>50.0</v>
      </c>
      <c r="G1553" s="4">
        <v>44460.94325322917</v>
      </c>
      <c r="H1553" s="8">
        <v>44460.0</v>
      </c>
    </row>
    <row r="1554">
      <c r="A1554" s="2">
        <v>0.47</v>
      </c>
      <c r="B1554" s="2">
        <v>229.3</v>
      </c>
      <c r="C1554" s="2">
        <v>59.4</v>
      </c>
      <c r="D1554" s="2">
        <v>2.72</v>
      </c>
      <c r="E1554" s="2">
        <v>0.55</v>
      </c>
      <c r="F1554" s="2">
        <v>49.9</v>
      </c>
      <c r="G1554" s="4">
        <v>44460.94336240741</v>
      </c>
      <c r="H1554" s="8">
        <v>44460.0</v>
      </c>
    </row>
    <row r="1555">
      <c r="A1555" s="2">
        <v>0.47</v>
      </c>
      <c r="B1555" s="2">
        <v>229.3</v>
      </c>
      <c r="C1555" s="2">
        <v>59.6</v>
      </c>
      <c r="D1555" s="2">
        <v>2.72</v>
      </c>
      <c r="E1555" s="2">
        <v>0.55</v>
      </c>
      <c r="F1555" s="2">
        <v>49.9</v>
      </c>
      <c r="G1555" s="4">
        <v>44460.94346392361</v>
      </c>
      <c r="H1555" s="8">
        <v>44460.0</v>
      </c>
    </row>
    <row r="1556">
      <c r="A1556" s="2">
        <v>0.47</v>
      </c>
      <c r="B1556" s="2">
        <v>229.4</v>
      </c>
      <c r="C1556" s="2">
        <v>58.5</v>
      </c>
      <c r="D1556" s="2">
        <v>2.72</v>
      </c>
      <c r="E1556" s="2">
        <v>0.54</v>
      </c>
      <c r="F1556" s="2">
        <v>50.0</v>
      </c>
      <c r="G1556" s="4">
        <v>44460.943564444446</v>
      </c>
      <c r="H1556" s="8">
        <v>44460.0</v>
      </c>
    </row>
    <row r="1557">
      <c r="A1557" s="2">
        <v>0.47</v>
      </c>
      <c r="B1557" s="2">
        <v>229.2</v>
      </c>
      <c r="C1557" s="2">
        <v>58.6</v>
      </c>
      <c r="D1557" s="2">
        <v>2.72</v>
      </c>
      <c r="E1557" s="2">
        <v>0.54</v>
      </c>
      <c r="F1557" s="2">
        <v>49.9</v>
      </c>
      <c r="G1557" s="4">
        <v>44460.94366821759</v>
      </c>
      <c r="H1557" s="8">
        <v>44460.0</v>
      </c>
    </row>
    <row r="1558">
      <c r="A1558" s="2">
        <v>0.47</v>
      </c>
      <c r="B1558" s="2">
        <v>229.2</v>
      </c>
      <c r="C1558" s="2">
        <v>58.6</v>
      </c>
      <c r="D1558" s="2">
        <v>2.72</v>
      </c>
      <c r="E1558" s="2">
        <v>0.54</v>
      </c>
      <c r="F1558" s="2">
        <v>50.0</v>
      </c>
      <c r="G1558" s="4">
        <v>44460.94377261574</v>
      </c>
      <c r="H1558" s="8">
        <v>44460.0</v>
      </c>
    </row>
    <row r="1559">
      <c r="A1559" s="2">
        <v>0.47</v>
      </c>
      <c r="B1559" s="2">
        <v>229.0</v>
      </c>
      <c r="C1559" s="2">
        <v>58.1</v>
      </c>
      <c r="D1559" s="2">
        <v>2.72</v>
      </c>
      <c r="E1559" s="2">
        <v>0.54</v>
      </c>
      <c r="F1559" s="2">
        <v>49.9</v>
      </c>
      <c r="G1559" s="4">
        <v>44460.94387319444</v>
      </c>
      <c r="H1559" s="8">
        <v>44460.0</v>
      </c>
    </row>
    <row r="1560">
      <c r="A1560" s="2">
        <v>0.47</v>
      </c>
      <c r="B1560" s="2">
        <v>229.3</v>
      </c>
      <c r="C1560" s="2">
        <v>58.0</v>
      </c>
      <c r="D1560" s="2">
        <v>2.72</v>
      </c>
      <c r="E1560" s="2">
        <v>0.54</v>
      </c>
      <c r="F1560" s="2">
        <v>49.9</v>
      </c>
      <c r="G1560" s="4">
        <v>44460.94397094907</v>
      </c>
      <c r="H1560" s="8">
        <v>44460.0</v>
      </c>
    </row>
    <row r="1561">
      <c r="A1561" s="2">
        <v>0.47</v>
      </c>
      <c r="B1561" s="2">
        <v>229.2</v>
      </c>
      <c r="C1561" s="2">
        <v>57.6</v>
      </c>
      <c r="D1561" s="2">
        <v>2.72</v>
      </c>
      <c r="E1561" s="2">
        <v>0.54</v>
      </c>
      <c r="F1561" s="2">
        <v>49.9</v>
      </c>
      <c r="G1561" s="4">
        <v>44460.94407053241</v>
      </c>
      <c r="H1561" s="8">
        <v>44460.0</v>
      </c>
    </row>
    <row r="1562">
      <c r="A1562" s="2">
        <v>0.47</v>
      </c>
      <c r="B1562" s="2">
        <v>229.2</v>
      </c>
      <c r="C1562" s="2">
        <v>57.9</v>
      </c>
      <c r="D1562" s="2">
        <v>2.72</v>
      </c>
      <c r="E1562" s="2">
        <v>0.54</v>
      </c>
      <c r="F1562" s="2">
        <v>50.0</v>
      </c>
      <c r="G1562" s="4">
        <v>44460.9441711574</v>
      </c>
      <c r="H1562" s="8">
        <v>44460.0</v>
      </c>
    </row>
    <row r="1563">
      <c r="A1563" s="2">
        <v>0.47</v>
      </c>
      <c r="B1563" s="2">
        <v>229.4</v>
      </c>
      <c r="C1563" s="2">
        <v>57.1</v>
      </c>
      <c r="D1563" s="2">
        <v>2.72</v>
      </c>
      <c r="E1563" s="2">
        <v>0.53</v>
      </c>
      <c r="F1563" s="2">
        <v>50.0</v>
      </c>
      <c r="G1563" s="4">
        <v>44460.944270057866</v>
      </c>
      <c r="H1563" s="8">
        <v>44460.0</v>
      </c>
    </row>
    <row r="1564">
      <c r="A1564" s="2">
        <v>0.47</v>
      </c>
      <c r="B1564" s="2">
        <v>229.4</v>
      </c>
      <c r="C1564" s="2">
        <v>57.7</v>
      </c>
      <c r="D1564" s="2">
        <v>2.72</v>
      </c>
      <c r="E1564" s="2">
        <v>0.54</v>
      </c>
      <c r="F1564" s="2">
        <v>50.0</v>
      </c>
      <c r="G1564" s="4">
        <v>44460.94437123842</v>
      </c>
      <c r="H1564" s="8">
        <v>44460.0</v>
      </c>
    </row>
    <row r="1565">
      <c r="A1565" s="2">
        <v>0.47</v>
      </c>
      <c r="B1565" s="2">
        <v>229.6</v>
      </c>
      <c r="C1565" s="2">
        <v>56.6</v>
      </c>
      <c r="D1565" s="2">
        <v>2.72</v>
      </c>
      <c r="E1565" s="2">
        <v>0.53</v>
      </c>
      <c r="F1565" s="2">
        <v>50.0</v>
      </c>
      <c r="G1565" s="4">
        <v>44460.94447210648</v>
      </c>
      <c r="H1565" s="8">
        <v>44460.0</v>
      </c>
    </row>
    <row r="1566">
      <c r="A1566" s="2">
        <v>0.47</v>
      </c>
      <c r="B1566" s="2">
        <v>229.5</v>
      </c>
      <c r="C1566" s="2">
        <v>56.5</v>
      </c>
      <c r="D1566" s="2">
        <v>2.72</v>
      </c>
      <c r="E1566" s="2">
        <v>0.53</v>
      </c>
      <c r="F1566" s="2">
        <v>50.0</v>
      </c>
      <c r="G1566" s="4">
        <v>44460.94460351852</v>
      </c>
      <c r="H1566" s="8">
        <v>44460.0</v>
      </c>
    </row>
    <row r="1567">
      <c r="A1567" s="2">
        <v>0.47</v>
      </c>
      <c r="B1567" s="2">
        <v>229.5</v>
      </c>
      <c r="C1567" s="2">
        <v>56.8</v>
      </c>
      <c r="D1567" s="2">
        <v>2.72</v>
      </c>
      <c r="E1567" s="2">
        <v>0.53</v>
      </c>
      <c r="F1567" s="2">
        <v>50.0</v>
      </c>
      <c r="G1567" s="4">
        <v>44460.944704837966</v>
      </c>
      <c r="H1567" s="8">
        <v>44460.0</v>
      </c>
    </row>
    <row r="1568">
      <c r="A1568" s="2">
        <v>0.46</v>
      </c>
      <c r="B1568" s="2">
        <v>229.4</v>
      </c>
      <c r="C1568" s="2">
        <v>55.8</v>
      </c>
      <c r="D1568" s="2">
        <v>2.72</v>
      </c>
      <c r="E1568" s="2">
        <v>0.53</v>
      </c>
      <c r="F1568" s="2">
        <v>50.0</v>
      </c>
      <c r="G1568" s="4">
        <v>44460.94480733796</v>
      </c>
      <c r="H1568" s="8">
        <v>44460.0</v>
      </c>
    </row>
    <row r="1569">
      <c r="A1569" s="2">
        <v>0.47</v>
      </c>
      <c r="B1569" s="2">
        <v>229.4</v>
      </c>
      <c r="C1569" s="2">
        <v>56.5</v>
      </c>
      <c r="D1569" s="2">
        <v>2.72</v>
      </c>
      <c r="E1569" s="2">
        <v>0.53</v>
      </c>
      <c r="F1569" s="2">
        <v>50.0</v>
      </c>
      <c r="G1569" s="4">
        <v>44460.94491421296</v>
      </c>
      <c r="H1569" s="8">
        <v>44460.0</v>
      </c>
    </row>
    <row r="1570">
      <c r="A1570" s="2">
        <v>0.46</v>
      </c>
      <c r="B1570" s="2">
        <v>229.3</v>
      </c>
      <c r="C1570" s="2">
        <v>55.5</v>
      </c>
      <c r="D1570" s="2">
        <v>2.72</v>
      </c>
      <c r="E1570" s="2">
        <v>0.52</v>
      </c>
      <c r="F1570" s="2">
        <v>50.0</v>
      </c>
      <c r="G1570" s="4">
        <v>44460.945029236114</v>
      </c>
      <c r="H1570" s="8">
        <v>44460.0</v>
      </c>
    </row>
    <row r="1571">
      <c r="A1571" s="2">
        <v>0.46</v>
      </c>
      <c r="B1571" s="2">
        <v>229.2</v>
      </c>
      <c r="C1571" s="2">
        <v>55.8</v>
      </c>
      <c r="D1571" s="2">
        <v>2.72</v>
      </c>
      <c r="E1571" s="2">
        <v>0.53</v>
      </c>
      <c r="F1571" s="2">
        <v>49.9</v>
      </c>
      <c r="G1571" s="4">
        <v>44460.94514150463</v>
      </c>
      <c r="H1571" s="8">
        <v>44460.0</v>
      </c>
    </row>
    <row r="1572">
      <c r="A1572" s="2">
        <v>0.46</v>
      </c>
      <c r="B1572" s="2">
        <v>231.0</v>
      </c>
      <c r="C1572" s="2">
        <v>54.9</v>
      </c>
      <c r="D1572" s="2">
        <v>2.72</v>
      </c>
      <c r="E1572" s="2">
        <v>0.51</v>
      </c>
      <c r="F1572" s="2">
        <v>50.0</v>
      </c>
      <c r="G1572" s="4">
        <v>44460.945250370365</v>
      </c>
      <c r="H1572" s="8">
        <v>44460.0</v>
      </c>
    </row>
    <row r="1573">
      <c r="A1573" s="2">
        <v>0.46</v>
      </c>
      <c r="B1573" s="2">
        <v>231.0</v>
      </c>
      <c r="C1573" s="2">
        <v>54.8</v>
      </c>
      <c r="D1573" s="2">
        <v>2.72</v>
      </c>
      <c r="E1573" s="2">
        <v>0.51</v>
      </c>
      <c r="F1573" s="2">
        <v>49.9</v>
      </c>
      <c r="G1573" s="4">
        <v>44460.945352546296</v>
      </c>
      <c r="H1573" s="8">
        <v>44460.0</v>
      </c>
    </row>
    <row r="1574">
      <c r="A1574" s="2">
        <v>0.46</v>
      </c>
      <c r="B1574" s="2">
        <v>231.1</v>
      </c>
      <c r="C1574" s="2">
        <v>55.1</v>
      </c>
      <c r="D1574" s="2">
        <v>2.72</v>
      </c>
      <c r="E1574" s="2">
        <v>0.51</v>
      </c>
      <c r="F1574" s="2">
        <v>50.0</v>
      </c>
      <c r="G1574" s="4">
        <v>44460.94545708333</v>
      </c>
      <c r="H1574" s="8">
        <v>44460.0</v>
      </c>
    </row>
    <row r="1575">
      <c r="A1575" s="2">
        <v>0.46</v>
      </c>
      <c r="B1575" s="2">
        <v>231.1</v>
      </c>
      <c r="C1575" s="2">
        <v>54.3</v>
      </c>
      <c r="D1575" s="2">
        <v>2.72</v>
      </c>
      <c r="E1575" s="2">
        <v>0.51</v>
      </c>
      <c r="F1575" s="2">
        <v>50.0</v>
      </c>
      <c r="G1575" s="4">
        <v>44460.94556284722</v>
      </c>
      <c r="H1575" s="8">
        <v>44460.0</v>
      </c>
    </row>
    <row r="1576">
      <c r="A1576" s="2">
        <v>0.46</v>
      </c>
      <c r="B1576" s="2">
        <v>231.1</v>
      </c>
      <c r="C1576" s="2">
        <v>54.7</v>
      </c>
      <c r="D1576" s="2">
        <v>2.72</v>
      </c>
      <c r="E1576" s="2">
        <v>0.51</v>
      </c>
      <c r="F1576" s="2">
        <v>50.0</v>
      </c>
      <c r="G1576" s="4">
        <v>44460.945664618055</v>
      </c>
      <c r="H1576" s="8">
        <v>44460.0</v>
      </c>
    </row>
    <row r="1577">
      <c r="A1577" s="2">
        <v>0.46</v>
      </c>
      <c r="B1577" s="2">
        <v>231.1</v>
      </c>
      <c r="C1577" s="2">
        <v>53.8</v>
      </c>
      <c r="D1577" s="2">
        <v>2.72</v>
      </c>
      <c r="E1577" s="2">
        <v>0.5</v>
      </c>
      <c r="F1577" s="2">
        <v>49.9</v>
      </c>
      <c r="G1577" s="4">
        <v>44460.94576578704</v>
      </c>
      <c r="H1577" s="8">
        <v>44460.0</v>
      </c>
    </row>
    <row r="1578">
      <c r="A1578" s="2">
        <v>0.46</v>
      </c>
      <c r="B1578" s="2">
        <v>231.1</v>
      </c>
      <c r="C1578" s="2">
        <v>54.4</v>
      </c>
      <c r="D1578" s="2">
        <v>2.72</v>
      </c>
      <c r="E1578" s="2">
        <v>0.51</v>
      </c>
      <c r="F1578" s="2">
        <v>49.9</v>
      </c>
      <c r="G1578" s="4">
        <v>44460.94586896991</v>
      </c>
      <c r="H1578" s="8">
        <v>44460.0</v>
      </c>
    </row>
    <row r="1579">
      <c r="A1579" s="2">
        <v>0.46</v>
      </c>
      <c r="B1579" s="2">
        <v>231.2</v>
      </c>
      <c r="C1579" s="2">
        <v>53.5</v>
      </c>
      <c r="D1579" s="2">
        <v>2.72</v>
      </c>
      <c r="E1579" s="2">
        <v>0.5</v>
      </c>
      <c r="F1579" s="2">
        <v>50.0</v>
      </c>
      <c r="G1579" s="4">
        <v>44460.94597855324</v>
      </c>
      <c r="H1579" s="8">
        <v>44460.0</v>
      </c>
    </row>
    <row r="1580">
      <c r="A1580" s="2">
        <v>0.46</v>
      </c>
      <c r="B1580" s="2">
        <v>231.2</v>
      </c>
      <c r="C1580" s="2">
        <v>53.4</v>
      </c>
      <c r="D1580" s="2">
        <v>2.72</v>
      </c>
      <c r="E1580" s="2">
        <v>0.5</v>
      </c>
      <c r="F1580" s="2">
        <v>50.0</v>
      </c>
      <c r="G1580" s="4">
        <v>44460.94608440972</v>
      </c>
      <c r="H1580" s="8">
        <v>44460.0</v>
      </c>
    </row>
    <row r="1581">
      <c r="A1581" s="2">
        <v>0.46</v>
      </c>
      <c r="B1581" s="2">
        <v>231.3</v>
      </c>
      <c r="C1581" s="2">
        <v>53.6</v>
      </c>
      <c r="D1581" s="2">
        <v>2.72</v>
      </c>
      <c r="E1581" s="2">
        <v>0.5</v>
      </c>
      <c r="F1581" s="2">
        <v>50.0</v>
      </c>
      <c r="G1581" s="4">
        <v>44460.94619275463</v>
      </c>
      <c r="H1581" s="8">
        <v>44460.0</v>
      </c>
    </row>
    <row r="1582">
      <c r="A1582" s="2">
        <v>0.46</v>
      </c>
      <c r="B1582" s="2">
        <v>231.4</v>
      </c>
      <c r="C1582" s="2">
        <v>53.1</v>
      </c>
      <c r="D1582" s="2">
        <v>2.72</v>
      </c>
      <c r="E1582" s="2">
        <v>0.5</v>
      </c>
      <c r="F1582" s="2">
        <v>50.0</v>
      </c>
      <c r="G1582" s="4">
        <v>44460.946297372684</v>
      </c>
      <c r="H1582" s="8">
        <v>44460.0</v>
      </c>
    </row>
    <row r="1583">
      <c r="A1583" s="2">
        <v>0.46</v>
      </c>
      <c r="B1583" s="2">
        <v>231.3</v>
      </c>
      <c r="C1583" s="2">
        <v>53.4</v>
      </c>
      <c r="D1583" s="2">
        <v>2.72</v>
      </c>
      <c r="E1583" s="2">
        <v>0.5</v>
      </c>
      <c r="F1583" s="2">
        <v>50.0</v>
      </c>
      <c r="G1583" s="4">
        <v>44460.946406793984</v>
      </c>
      <c r="H1583" s="8">
        <v>44460.0</v>
      </c>
    </row>
    <row r="1584">
      <c r="A1584" s="2">
        <v>0.46</v>
      </c>
      <c r="B1584" s="2">
        <v>231.2</v>
      </c>
      <c r="C1584" s="2">
        <v>52.4</v>
      </c>
      <c r="D1584" s="2">
        <v>2.72</v>
      </c>
      <c r="E1584" s="2">
        <v>0.5</v>
      </c>
      <c r="F1584" s="2">
        <v>50.0</v>
      </c>
      <c r="G1584" s="4">
        <v>44460.94650952546</v>
      </c>
      <c r="H1584" s="8">
        <v>44460.0</v>
      </c>
    </row>
    <row r="1585">
      <c r="A1585" s="2">
        <v>0.46</v>
      </c>
      <c r="B1585" s="2">
        <v>231.1</v>
      </c>
      <c r="C1585" s="2">
        <v>52.7</v>
      </c>
      <c r="D1585" s="2">
        <v>2.72</v>
      </c>
      <c r="E1585" s="2">
        <v>0.5</v>
      </c>
      <c r="F1585" s="2">
        <v>50.0</v>
      </c>
      <c r="G1585" s="4">
        <v>44460.946612604166</v>
      </c>
      <c r="H1585" s="8">
        <v>44460.0</v>
      </c>
    </row>
    <row r="1586">
      <c r="A1586" s="2">
        <v>0.46</v>
      </c>
      <c r="B1586" s="2">
        <v>231.2</v>
      </c>
      <c r="C1586" s="2">
        <v>52.1</v>
      </c>
      <c r="D1586" s="2">
        <v>2.72</v>
      </c>
      <c r="E1586" s="2">
        <v>0.49</v>
      </c>
      <c r="F1586" s="2">
        <v>50.0</v>
      </c>
      <c r="G1586" s="4">
        <v>44460.94671429398</v>
      </c>
      <c r="H1586" s="8">
        <v>44460.0</v>
      </c>
    </row>
    <row r="1587">
      <c r="A1587" s="2">
        <v>0.43</v>
      </c>
      <c r="B1587" s="2">
        <v>231.0</v>
      </c>
      <c r="C1587" s="2">
        <v>46.5</v>
      </c>
      <c r="D1587" s="2">
        <v>2.72</v>
      </c>
      <c r="E1587" s="2">
        <v>0.47</v>
      </c>
      <c r="F1587" s="2">
        <v>50.0</v>
      </c>
      <c r="G1587" s="4">
        <v>44460.94681976852</v>
      </c>
      <c r="H1587" s="8">
        <v>44460.0</v>
      </c>
    </row>
    <row r="1588">
      <c r="A1588" s="2">
        <v>0.46</v>
      </c>
      <c r="B1588" s="2">
        <v>230.9</v>
      </c>
      <c r="C1588" s="2">
        <v>52.1</v>
      </c>
      <c r="D1588" s="2">
        <v>2.72</v>
      </c>
      <c r="E1588" s="2">
        <v>0.49</v>
      </c>
      <c r="F1588" s="2">
        <v>50.0</v>
      </c>
      <c r="G1588" s="4">
        <v>44460.946923993055</v>
      </c>
      <c r="H1588" s="8">
        <v>44460.0</v>
      </c>
    </row>
    <row r="1589">
      <c r="A1589" s="2">
        <v>0.46</v>
      </c>
      <c r="B1589" s="2">
        <v>230.8</v>
      </c>
      <c r="C1589" s="2">
        <v>52.7</v>
      </c>
      <c r="D1589" s="2">
        <v>2.72</v>
      </c>
      <c r="E1589" s="2">
        <v>0.5</v>
      </c>
      <c r="F1589" s="2">
        <v>50.0</v>
      </c>
      <c r="G1589" s="4">
        <v>44460.94704128472</v>
      </c>
      <c r="H1589" s="8">
        <v>44460.0</v>
      </c>
    </row>
    <row r="1590">
      <c r="A1590" s="2">
        <v>0.46</v>
      </c>
      <c r="B1590" s="2">
        <v>230.7</v>
      </c>
      <c r="C1590" s="2">
        <v>53.3</v>
      </c>
      <c r="D1590" s="2">
        <v>2.72</v>
      </c>
      <c r="E1590" s="2">
        <v>0.5</v>
      </c>
      <c r="F1590" s="2">
        <v>49.9</v>
      </c>
      <c r="G1590" s="4">
        <v>44460.947146736115</v>
      </c>
      <c r="H1590" s="8">
        <v>44460.0</v>
      </c>
    </row>
    <row r="1591">
      <c r="A1591" s="2">
        <v>0.46</v>
      </c>
      <c r="B1591" s="2">
        <v>230.8</v>
      </c>
      <c r="C1591" s="2">
        <v>52.4</v>
      </c>
      <c r="D1591" s="2">
        <v>2.72</v>
      </c>
      <c r="E1591" s="2">
        <v>0.5</v>
      </c>
      <c r="F1591" s="2">
        <v>50.0</v>
      </c>
      <c r="G1591" s="4">
        <v>44460.94725246528</v>
      </c>
      <c r="H1591" s="8">
        <v>44460.0</v>
      </c>
    </row>
    <row r="1592">
      <c r="A1592" s="2">
        <v>0.47</v>
      </c>
      <c r="B1592" s="2">
        <v>230.7</v>
      </c>
      <c r="C1592" s="2">
        <v>55.6</v>
      </c>
      <c r="D1592" s="2">
        <v>2.72</v>
      </c>
      <c r="E1592" s="2">
        <v>0.52</v>
      </c>
      <c r="F1592" s="2">
        <v>49.9</v>
      </c>
      <c r="G1592" s="4">
        <v>44460.9473534375</v>
      </c>
      <c r="H1592" s="8">
        <v>44460.0</v>
      </c>
    </row>
    <row r="1593">
      <c r="A1593" s="2">
        <v>0.43</v>
      </c>
      <c r="B1593" s="2">
        <v>230.8</v>
      </c>
      <c r="C1593" s="2">
        <v>45.9</v>
      </c>
      <c r="D1593" s="2">
        <v>2.72</v>
      </c>
      <c r="E1593" s="2">
        <v>0.46</v>
      </c>
      <c r="F1593" s="2">
        <v>49.9</v>
      </c>
      <c r="G1593" s="4">
        <v>44460.94745997685</v>
      </c>
      <c r="H1593" s="8">
        <v>44460.0</v>
      </c>
    </row>
    <row r="1594">
      <c r="A1594" s="2">
        <v>0.46</v>
      </c>
      <c r="B1594" s="2">
        <v>231.0</v>
      </c>
      <c r="C1594" s="2">
        <v>54.2</v>
      </c>
      <c r="D1594" s="2">
        <v>2.72</v>
      </c>
      <c r="E1594" s="2">
        <v>0.51</v>
      </c>
      <c r="F1594" s="2">
        <v>49.9</v>
      </c>
      <c r="G1594" s="4">
        <v>44460.94756560185</v>
      </c>
      <c r="H1594" s="8">
        <v>44460.0</v>
      </c>
    </row>
    <row r="1595">
      <c r="A1595" s="2">
        <v>0.44</v>
      </c>
      <c r="B1595" s="2">
        <v>231.1</v>
      </c>
      <c r="C1595" s="2">
        <v>46.6</v>
      </c>
      <c r="D1595" s="2">
        <v>2.72</v>
      </c>
      <c r="E1595" s="2">
        <v>0.46</v>
      </c>
      <c r="F1595" s="2">
        <v>50.0</v>
      </c>
      <c r="G1595" s="4">
        <v>44460.94767270834</v>
      </c>
      <c r="H1595" s="8">
        <v>44460.0</v>
      </c>
    </row>
    <row r="1596">
      <c r="A1596" s="2">
        <v>0.43</v>
      </c>
      <c r="B1596" s="2">
        <v>231.3</v>
      </c>
      <c r="C1596" s="2">
        <v>44.1</v>
      </c>
      <c r="D1596" s="2">
        <v>2.72</v>
      </c>
      <c r="E1596" s="2">
        <v>0.45</v>
      </c>
      <c r="F1596" s="2">
        <v>50.0</v>
      </c>
      <c r="G1596" s="4">
        <v>44460.9477849074</v>
      </c>
      <c r="H1596" s="8">
        <v>44460.0</v>
      </c>
    </row>
    <row r="1597">
      <c r="A1597" s="2">
        <v>0.45</v>
      </c>
      <c r="B1597" s="2">
        <v>231.1</v>
      </c>
      <c r="C1597" s="2">
        <v>48.4</v>
      </c>
      <c r="D1597" s="2">
        <v>2.72</v>
      </c>
      <c r="E1597" s="2">
        <v>0.47</v>
      </c>
      <c r="F1597" s="2">
        <v>50.0</v>
      </c>
      <c r="G1597" s="4">
        <v>44460.94789707176</v>
      </c>
      <c r="H1597" s="8">
        <v>44460.0</v>
      </c>
    </row>
    <row r="1598">
      <c r="A1598" s="2">
        <v>0.44</v>
      </c>
      <c r="B1598" s="2">
        <v>231.2</v>
      </c>
      <c r="C1598" s="2">
        <v>48.0</v>
      </c>
      <c r="D1598" s="2">
        <v>2.72</v>
      </c>
      <c r="E1598" s="2">
        <v>0.48</v>
      </c>
      <c r="F1598" s="2">
        <v>50.0</v>
      </c>
      <c r="G1598" s="4">
        <v>44460.94800621527</v>
      </c>
      <c r="H1598" s="8">
        <v>44460.0</v>
      </c>
    </row>
    <row r="1599">
      <c r="A1599" s="2">
        <v>0.46</v>
      </c>
      <c r="B1599" s="2">
        <v>231.1</v>
      </c>
      <c r="C1599" s="2">
        <v>52.3</v>
      </c>
      <c r="D1599" s="2">
        <v>2.72</v>
      </c>
      <c r="E1599" s="2">
        <v>0.49</v>
      </c>
      <c r="F1599" s="2">
        <v>50.0</v>
      </c>
      <c r="G1599" s="4">
        <v>44460.94811402778</v>
      </c>
      <c r="H1599" s="8">
        <v>44460.0</v>
      </c>
    </row>
    <row r="1600">
      <c r="A1600" s="2">
        <v>0.43</v>
      </c>
      <c r="B1600" s="2">
        <v>231.1</v>
      </c>
      <c r="C1600" s="2">
        <v>44.2</v>
      </c>
      <c r="D1600" s="2">
        <v>2.72</v>
      </c>
      <c r="E1600" s="2">
        <v>0.45</v>
      </c>
      <c r="F1600" s="2">
        <v>50.0</v>
      </c>
      <c r="G1600" s="4">
        <v>44460.94821407407</v>
      </c>
      <c r="H1600" s="8">
        <v>44460.0</v>
      </c>
    </row>
    <row r="1601">
      <c r="A1601" s="2">
        <v>0.43</v>
      </c>
      <c r="B1601" s="2">
        <v>231.1</v>
      </c>
      <c r="C1601" s="2">
        <v>44.7</v>
      </c>
      <c r="D1601" s="2">
        <v>2.72</v>
      </c>
      <c r="E1601" s="2">
        <v>0.45</v>
      </c>
      <c r="F1601" s="2">
        <v>50.0</v>
      </c>
      <c r="G1601" s="4">
        <v>44460.94831854167</v>
      </c>
      <c r="H1601" s="8">
        <v>44460.0</v>
      </c>
    </row>
    <row r="1602">
      <c r="A1602" s="2">
        <v>0.46</v>
      </c>
      <c r="B1602" s="2">
        <v>231.0</v>
      </c>
      <c r="C1602" s="2">
        <v>54.4</v>
      </c>
      <c r="D1602" s="2">
        <v>2.72</v>
      </c>
      <c r="E1602" s="2">
        <v>0.51</v>
      </c>
      <c r="F1602" s="2">
        <v>50.0</v>
      </c>
      <c r="G1602" s="4">
        <v>44460.9484205787</v>
      </c>
      <c r="H1602" s="8">
        <v>44460.0</v>
      </c>
    </row>
    <row r="1603">
      <c r="A1603" s="2">
        <v>0.43</v>
      </c>
      <c r="B1603" s="2">
        <v>231.1</v>
      </c>
      <c r="C1603" s="2">
        <v>44.2</v>
      </c>
      <c r="D1603" s="2">
        <v>2.72</v>
      </c>
      <c r="E1603" s="2">
        <v>0.45</v>
      </c>
      <c r="F1603" s="2">
        <v>49.9</v>
      </c>
      <c r="G1603" s="4">
        <v>44460.948521412036</v>
      </c>
      <c r="H1603" s="8">
        <v>44460.0</v>
      </c>
    </row>
    <row r="1604">
      <c r="A1604" s="2">
        <v>0.43</v>
      </c>
      <c r="B1604" s="2">
        <v>231.3</v>
      </c>
      <c r="C1604" s="2">
        <v>44.0</v>
      </c>
      <c r="D1604" s="2">
        <v>2.72</v>
      </c>
      <c r="E1604" s="2">
        <v>0.45</v>
      </c>
      <c r="F1604" s="2">
        <v>49.9</v>
      </c>
      <c r="G1604" s="4">
        <v>44460.94862443287</v>
      </c>
      <c r="H1604" s="8">
        <v>44460.0</v>
      </c>
    </row>
    <row r="1605">
      <c r="A1605" s="2">
        <v>0.43</v>
      </c>
      <c r="B1605" s="2">
        <v>231.3</v>
      </c>
      <c r="C1605" s="2">
        <v>44.4</v>
      </c>
      <c r="D1605" s="2">
        <v>2.72</v>
      </c>
      <c r="E1605" s="2">
        <v>0.45</v>
      </c>
      <c r="F1605" s="2">
        <v>49.9</v>
      </c>
      <c r="G1605" s="4">
        <v>44460.94872988426</v>
      </c>
      <c r="H1605" s="8">
        <v>44460.0</v>
      </c>
    </row>
    <row r="1606">
      <c r="A1606" s="2">
        <v>0.46</v>
      </c>
      <c r="B1606" s="2">
        <v>231.3</v>
      </c>
      <c r="C1606" s="2">
        <v>54.2</v>
      </c>
      <c r="D1606" s="2">
        <v>2.72</v>
      </c>
      <c r="E1606" s="2">
        <v>0.51</v>
      </c>
      <c r="F1606" s="2">
        <v>49.9</v>
      </c>
      <c r="G1606" s="4">
        <v>44460.94883148148</v>
      </c>
      <c r="H1606" s="8">
        <v>44460.0</v>
      </c>
    </row>
    <row r="1607">
      <c r="A1607" s="2">
        <v>0.43</v>
      </c>
      <c r="B1607" s="2">
        <v>231.3</v>
      </c>
      <c r="C1607" s="2">
        <v>43.9</v>
      </c>
      <c r="D1607" s="2">
        <v>2.72</v>
      </c>
      <c r="E1607" s="2">
        <v>0.45</v>
      </c>
      <c r="F1607" s="2">
        <v>49.9</v>
      </c>
      <c r="G1607" s="4">
        <v>44460.9489265625</v>
      </c>
      <c r="H1607" s="8">
        <v>44460.0</v>
      </c>
    </row>
    <row r="1608">
      <c r="A1608" s="2">
        <v>0.42</v>
      </c>
      <c r="B1608" s="2">
        <v>231.4</v>
      </c>
      <c r="C1608" s="2">
        <v>43.3</v>
      </c>
      <c r="D1608" s="2">
        <v>2.72</v>
      </c>
      <c r="E1608" s="2">
        <v>0.44</v>
      </c>
      <c r="F1608" s="2">
        <v>49.9</v>
      </c>
      <c r="G1608" s="4">
        <v>44460.949025775466</v>
      </c>
      <c r="H1608" s="8">
        <v>44460.0</v>
      </c>
    </row>
    <row r="1609">
      <c r="A1609" s="2">
        <v>0.43</v>
      </c>
      <c r="B1609" s="2">
        <v>231.4</v>
      </c>
      <c r="C1609" s="2">
        <v>43.8</v>
      </c>
      <c r="D1609" s="2">
        <v>2.72</v>
      </c>
      <c r="E1609" s="2">
        <v>0.45</v>
      </c>
      <c r="F1609" s="2">
        <v>50.0</v>
      </c>
      <c r="G1609" s="4">
        <v>44460.94912592592</v>
      </c>
      <c r="H1609" s="8">
        <v>44460.0</v>
      </c>
    </row>
    <row r="1610">
      <c r="A1610" s="2">
        <v>0.45</v>
      </c>
      <c r="B1610" s="2">
        <v>231.5</v>
      </c>
      <c r="C1610" s="2">
        <v>52.5</v>
      </c>
      <c r="D1610" s="2">
        <v>2.72</v>
      </c>
      <c r="E1610" s="2">
        <v>0.5</v>
      </c>
      <c r="F1610" s="2">
        <v>50.0</v>
      </c>
      <c r="G1610" s="4">
        <v>44460.94923392361</v>
      </c>
      <c r="H1610" s="8">
        <v>44460.0</v>
      </c>
    </row>
    <row r="1611">
      <c r="A1611" s="2">
        <v>0.46</v>
      </c>
      <c r="B1611" s="2">
        <v>231.5</v>
      </c>
      <c r="C1611" s="2">
        <v>53.5</v>
      </c>
      <c r="D1611" s="2">
        <v>2.72</v>
      </c>
      <c r="E1611" s="2">
        <v>0.5</v>
      </c>
      <c r="F1611" s="2">
        <v>49.9</v>
      </c>
      <c r="G1611" s="4">
        <v>44460.949331944445</v>
      </c>
      <c r="H1611" s="8">
        <v>44460.0</v>
      </c>
    </row>
    <row r="1612">
      <c r="A1612" s="2">
        <v>0.44</v>
      </c>
      <c r="B1612" s="2">
        <v>231.3</v>
      </c>
      <c r="C1612" s="2">
        <v>48.4</v>
      </c>
      <c r="D1612" s="2">
        <v>2.72</v>
      </c>
      <c r="E1612" s="2">
        <v>0.48</v>
      </c>
      <c r="F1612" s="2">
        <v>49.9</v>
      </c>
      <c r="G1612" s="4">
        <v>44460.94943328704</v>
      </c>
      <c r="H1612" s="8">
        <v>44460.0</v>
      </c>
    </row>
    <row r="1613">
      <c r="A1613" s="2">
        <v>0.42</v>
      </c>
      <c r="B1613" s="2">
        <v>231.6</v>
      </c>
      <c r="C1613" s="2">
        <v>44.7</v>
      </c>
      <c r="D1613" s="2">
        <v>2.72</v>
      </c>
      <c r="E1613" s="2">
        <v>0.46</v>
      </c>
      <c r="F1613" s="2">
        <v>49.9</v>
      </c>
      <c r="G1613" s="4">
        <v>44460.94953815972</v>
      </c>
      <c r="H1613" s="8">
        <v>44460.0</v>
      </c>
    </row>
    <row r="1614">
      <c r="A1614" s="2">
        <v>0.42</v>
      </c>
      <c r="B1614" s="2">
        <v>231.5</v>
      </c>
      <c r="C1614" s="2">
        <v>43.6</v>
      </c>
      <c r="D1614" s="2">
        <v>2.72</v>
      </c>
      <c r="E1614" s="2">
        <v>0.44</v>
      </c>
      <c r="F1614" s="2">
        <v>50.0</v>
      </c>
      <c r="G1614" s="4">
        <v>44460.94964493056</v>
      </c>
      <c r="H1614" s="8">
        <v>44460.0</v>
      </c>
    </row>
    <row r="1615">
      <c r="A1615" s="2">
        <v>0.43</v>
      </c>
      <c r="B1615" s="2">
        <v>231.5</v>
      </c>
      <c r="C1615" s="2">
        <v>44.0</v>
      </c>
      <c r="D1615" s="2">
        <v>2.72</v>
      </c>
      <c r="E1615" s="2">
        <v>0.45</v>
      </c>
      <c r="F1615" s="2">
        <v>49.9</v>
      </c>
      <c r="G1615" s="4">
        <v>44460.94974672454</v>
      </c>
      <c r="H1615" s="8">
        <v>44460.0</v>
      </c>
    </row>
    <row r="1616">
      <c r="A1616" s="2">
        <v>0.43</v>
      </c>
      <c r="B1616" s="2">
        <v>231.5</v>
      </c>
      <c r="C1616" s="2">
        <v>43.7</v>
      </c>
      <c r="D1616" s="2">
        <v>2.72</v>
      </c>
      <c r="E1616" s="2">
        <v>0.44</v>
      </c>
      <c r="F1616" s="2">
        <v>49.9</v>
      </c>
      <c r="G1616" s="4">
        <v>44460.9498512037</v>
      </c>
      <c r="H1616" s="8">
        <v>44460.0</v>
      </c>
    </row>
    <row r="1617">
      <c r="A1617" s="2">
        <v>0.46</v>
      </c>
      <c r="B1617" s="2">
        <v>231.6</v>
      </c>
      <c r="C1617" s="2">
        <v>53.4</v>
      </c>
      <c r="D1617" s="2">
        <v>2.72</v>
      </c>
      <c r="E1617" s="2">
        <v>0.5</v>
      </c>
      <c r="F1617" s="2">
        <v>50.0</v>
      </c>
      <c r="G1617" s="4">
        <v>44460.94995949074</v>
      </c>
      <c r="H1617" s="8">
        <v>44460.0</v>
      </c>
    </row>
    <row r="1618">
      <c r="A1618" s="2">
        <v>0.43</v>
      </c>
      <c r="B1618" s="2">
        <v>231.7</v>
      </c>
      <c r="C1618" s="2">
        <v>43.7</v>
      </c>
      <c r="D1618" s="2">
        <v>2.73</v>
      </c>
      <c r="E1618" s="2">
        <v>0.44</v>
      </c>
      <c r="F1618" s="2">
        <v>50.0</v>
      </c>
      <c r="G1618" s="4">
        <v>44460.950067303245</v>
      </c>
      <c r="H1618" s="8">
        <v>44460.0</v>
      </c>
    </row>
    <row r="1619">
      <c r="A1619" s="2">
        <v>0.42</v>
      </c>
      <c r="B1619" s="2">
        <v>231.7</v>
      </c>
      <c r="C1619" s="2">
        <v>43.3</v>
      </c>
      <c r="D1619" s="2">
        <v>2.73</v>
      </c>
      <c r="E1619" s="2">
        <v>0.44</v>
      </c>
      <c r="F1619" s="2">
        <v>50.0</v>
      </c>
      <c r="G1619" s="4">
        <v>44460.95017321759</v>
      </c>
      <c r="H1619" s="8">
        <v>44460.0</v>
      </c>
    </row>
    <row r="1620">
      <c r="A1620" s="2">
        <v>0.42</v>
      </c>
      <c r="B1620" s="2">
        <v>231.6</v>
      </c>
      <c r="C1620" s="2">
        <v>43.2</v>
      </c>
      <c r="D1620" s="2">
        <v>2.73</v>
      </c>
      <c r="E1620" s="2">
        <v>0.44</v>
      </c>
      <c r="F1620" s="2">
        <v>50.0</v>
      </c>
      <c r="G1620" s="4">
        <v>44460.95027398148</v>
      </c>
      <c r="H1620" s="8">
        <v>44460.0</v>
      </c>
    </row>
    <row r="1621">
      <c r="A1621" s="2">
        <v>0.42</v>
      </c>
      <c r="B1621" s="2">
        <v>231.6</v>
      </c>
      <c r="C1621" s="2">
        <v>43.0</v>
      </c>
      <c r="D1621" s="2">
        <v>2.73</v>
      </c>
      <c r="E1621" s="2">
        <v>0.44</v>
      </c>
      <c r="F1621" s="2">
        <v>50.0</v>
      </c>
      <c r="G1621" s="4">
        <v>44460.95037439815</v>
      </c>
      <c r="H1621" s="8">
        <v>44460.0</v>
      </c>
    </row>
    <row r="1622">
      <c r="A1622" s="2">
        <v>0.42</v>
      </c>
      <c r="B1622" s="2">
        <v>231.6</v>
      </c>
      <c r="C1622" s="2">
        <v>43.6</v>
      </c>
      <c r="D1622" s="2">
        <v>2.73</v>
      </c>
      <c r="E1622" s="2">
        <v>0.44</v>
      </c>
      <c r="F1622" s="2">
        <v>50.0</v>
      </c>
      <c r="G1622" s="4">
        <v>44460.95047869213</v>
      </c>
      <c r="H1622" s="8">
        <v>44460.0</v>
      </c>
    </row>
    <row r="1623">
      <c r="A1623" s="2">
        <v>0.44</v>
      </c>
      <c r="B1623" s="2">
        <v>231.6</v>
      </c>
      <c r="C1623" s="2">
        <v>48.2</v>
      </c>
      <c r="D1623" s="2">
        <v>2.73</v>
      </c>
      <c r="E1623" s="2">
        <v>0.47</v>
      </c>
      <c r="F1623" s="2">
        <v>50.0</v>
      </c>
      <c r="G1623" s="4">
        <v>44460.95058495371</v>
      </c>
      <c r="H1623" s="8">
        <v>44460.0</v>
      </c>
    </row>
    <row r="1624">
      <c r="A1624" s="2">
        <v>0.42</v>
      </c>
      <c r="B1624" s="2">
        <v>231.6</v>
      </c>
      <c r="C1624" s="2">
        <v>42.8</v>
      </c>
      <c r="D1624" s="2">
        <v>2.73</v>
      </c>
      <c r="E1624" s="2">
        <v>0.44</v>
      </c>
      <c r="F1624" s="2">
        <v>50.0</v>
      </c>
      <c r="G1624" s="4">
        <v>44460.95068739583</v>
      </c>
      <c r="H1624" s="8">
        <v>44460.0</v>
      </c>
    </row>
    <row r="1625">
      <c r="A1625" s="2">
        <v>0.42</v>
      </c>
      <c r="B1625" s="2">
        <v>231.7</v>
      </c>
      <c r="C1625" s="2">
        <v>43.3</v>
      </c>
      <c r="D1625" s="2">
        <v>2.73</v>
      </c>
      <c r="E1625" s="2">
        <v>0.44</v>
      </c>
      <c r="F1625" s="2">
        <v>50.0</v>
      </c>
      <c r="G1625" s="4">
        <v>44460.950796006946</v>
      </c>
      <c r="H1625" s="8">
        <v>44460.0</v>
      </c>
    </row>
    <row r="1626">
      <c r="A1626" s="2">
        <v>0.42</v>
      </c>
      <c r="B1626" s="2">
        <v>231.5</v>
      </c>
      <c r="C1626" s="2">
        <v>42.8</v>
      </c>
      <c r="D1626" s="2">
        <v>2.73</v>
      </c>
      <c r="E1626" s="2">
        <v>0.44</v>
      </c>
      <c r="F1626" s="2">
        <v>50.0</v>
      </c>
      <c r="G1626" s="4">
        <v>44460.95090121528</v>
      </c>
      <c r="H1626" s="8">
        <v>44460.0</v>
      </c>
    </row>
    <row r="1627">
      <c r="A1627" s="2">
        <v>0.43</v>
      </c>
      <c r="B1627" s="2">
        <v>231.6</v>
      </c>
      <c r="C1627" s="2">
        <v>43.7</v>
      </c>
      <c r="D1627" s="2">
        <v>2.73</v>
      </c>
      <c r="E1627" s="2">
        <v>0.44</v>
      </c>
      <c r="F1627" s="2">
        <v>50.0</v>
      </c>
      <c r="G1627" s="4">
        <v>44460.951001608795</v>
      </c>
      <c r="H1627" s="8">
        <v>44460.0</v>
      </c>
    </row>
    <row r="1628">
      <c r="A1628" s="2">
        <v>0.42</v>
      </c>
      <c r="B1628" s="2">
        <v>231.5</v>
      </c>
      <c r="C1628" s="2">
        <v>42.8</v>
      </c>
      <c r="D1628" s="2">
        <v>2.73</v>
      </c>
      <c r="E1628" s="2">
        <v>0.44</v>
      </c>
      <c r="F1628" s="2">
        <v>50.0</v>
      </c>
      <c r="G1628" s="4">
        <v>44460.95110539352</v>
      </c>
      <c r="H1628" s="8">
        <v>44460.0</v>
      </c>
    </row>
    <row r="1629">
      <c r="A1629" s="2">
        <v>0.42</v>
      </c>
      <c r="B1629" s="2">
        <v>231.7</v>
      </c>
      <c r="C1629" s="2">
        <v>42.9</v>
      </c>
      <c r="D1629" s="2">
        <v>2.73</v>
      </c>
      <c r="E1629" s="2">
        <v>0.44</v>
      </c>
      <c r="F1629" s="2">
        <v>50.0</v>
      </c>
      <c r="G1629" s="4">
        <v>44460.95120851852</v>
      </c>
      <c r="H1629" s="8">
        <v>44460.0</v>
      </c>
    </row>
    <row r="1630">
      <c r="A1630" s="2">
        <v>0.42</v>
      </c>
      <c r="B1630" s="2">
        <v>231.7</v>
      </c>
      <c r="C1630" s="2">
        <v>43.5</v>
      </c>
      <c r="D1630" s="2">
        <v>2.73</v>
      </c>
      <c r="E1630" s="2">
        <v>0.44</v>
      </c>
      <c r="F1630" s="2">
        <v>50.0</v>
      </c>
      <c r="G1630" s="4">
        <v>44460.95131498843</v>
      </c>
      <c r="H1630" s="8">
        <v>44460.0</v>
      </c>
    </row>
    <row r="1631">
      <c r="A1631" s="2">
        <v>0.42</v>
      </c>
      <c r="B1631" s="2">
        <v>231.8</v>
      </c>
      <c r="C1631" s="2">
        <v>42.6</v>
      </c>
      <c r="D1631" s="2">
        <v>2.73</v>
      </c>
      <c r="E1631" s="2">
        <v>0.44</v>
      </c>
      <c r="F1631" s="2">
        <v>50.0</v>
      </c>
      <c r="G1631" s="4">
        <v>44460.951427673615</v>
      </c>
      <c r="H1631" s="8">
        <v>44460.0</v>
      </c>
    </row>
    <row r="1632">
      <c r="A1632" s="2">
        <v>0.42</v>
      </c>
      <c r="B1632" s="2">
        <v>231.8</v>
      </c>
      <c r="C1632" s="2">
        <v>42.6</v>
      </c>
      <c r="D1632" s="2">
        <v>2.73</v>
      </c>
      <c r="E1632" s="2">
        <v>0.44</v>
      </c>
      <c r="F1632" s="2">
        <v>50.0</v>
      </c>
      <c r="G1632" s="4">
        <v>44460.95153236111</v>
      </c>
      <c r="H1632" s="8">
        <v>44460.0</v>
      </c>
    </row>
    <row r="1633">
      <c r="A1633" s="2">
        <v>0.42</v>
      </c>
      <c r="B1633" s="2">
        <v>231.8</v>
      </c>
      <c r="C1633" s="2">
        <v>42.5</v>
      </c>
      <c r="D1633" s="2">
        <v>2.73</v>
      </c>
      <c r="E1633" s="2">
        <v>0.44</v>
      </c>
      <c r="F1633" s="2">
        <v>50.0</v>
      </c>
      <c r="G1633" s="4">
        <v>44460.951644201385</v>
      </c>
      <c r="H1633" s="8">
        <v>44460.0</v>
      </c>
    </row>
    <row r="1634">
      <c r="A1634" s="2">
        <v>0.42</v>
      </c>
      <c r="B1634" s="2">
        <v>231.9</v>
      </c>
      <c r="C1634" s="2">
        <v>42.5</v>
      </c>
      <c r="D1634" s="2">
        <v>2.73</v>
      </c>
      <c r="E1634" s="2">
        <v>0.44</v>
      </c>
      <c r="F1634" s="2">
        <v>50.0</v>
      </c>
      <c r="G1634" s="4">
        <v>44460.951748182866</v>
      </c>
      <c r="H1634" s="8">
        <v>44460.0</v>
      </c>
    </row>
    <row r="1635">
      <c r="A1635" s="2">
        <v>0.42</v>
      </c>
      <c r="B1635" s="2">
        <v>231.7</v>
      </c>
      <c r="C1635" s="2">
        <v>40.3</v>
      </c>
      <c r="D1635" s="2">
        <v>2.73</v>
      </c>
      <c r="E1635" s="2">
        <v>0.42</v>
      </c>
      <c r="F1635" s="2">
        <v>50.0</v>
      </c>
      <c r="G1635" s="4">
        <v>44460.9518674537</v>
      </c>
      <c r="H1635" s="8">
        <v>44460.0</v>
      </c>
    </row>
    <row r="1636">
      <c r="A1636" s="2">
        <v>0.42</v>
      </c>
      <c r="B1636" s="2">
        <v>231.7</v>
      </c>
      <c r="C1636" s="2">
        <v>42.5</v>
      </c>
      <c r="D1636" s="2">
        <v>2.73</v>
      </c>
      <c r="E1636" s="2">
        <v>0.44</v>
      </c>
      <c r="F1636" s="2">
        <v>50.0</v>
      </c>
      <c r="G1636" s="4">
        <v>44460.9519740625</v>
      </c>
      <c r="H1636" s="8">
        <v>44460.0</v>
      </c>
    </row>
    <row r="1637">
      <c r="A1637" s="2">
        <v>0.41</v>
      </c>
      <c r="B1637" s="2">
        <v>231.8</v>
      </c>
      <c r="C1637" s="2">
        <v>39.5</v>
      </c>
      <c r="D1637" s="2">
        <v>2.73</v>
      </c>
      <c r="E1637" s="2">
        <v>0.42</v>
      </c>
      <c r="F1637" s="2">
        <v>50.0</v>
      </c>
      <c r="G1637" s="4">
        <v>44460.95207912037</v>
      </c>
      <c r="H1637" s="8">
        <v>44460.0</v>
      </c>
    </row>
    <row r="1638">
      <c r="A1638" s="2">
        <v>0.42</v>
      </c>
      <c r="B1638" s="2">
        <v>231.5</v>
      </c>
      <c r="C1638" s="2">
        <v>42.3</v>
      </c>
      <c r="D1638" s="2">
        <v>2.73</v>
      </c>
      <c r="E1638" s="2">
        <v>0.44</v>
      </c>
      <c r="F1638" s="2">
        <v>50.0</v>
      </c>
      <c r="G1638" s="4">
        <v>44460.95218576389</v>
      </c>
      <c r="H1638" s="8">
        <v>44460.0</v>
      </c>
    </row>
    <row r="1639">
      <c r="A1639" s="2">
        <v>0.4</v>
      </c>
      <c r="B1639" s="2">
        <v>231.5</v>
      </c>
      <c r="C1639" s="2">
        <v>37.4</v>
      </c>
      <c r="D1639" s="2">
        <v>2.73</v>
      </c>
      <c r="E1639" s="2">
        <v>0.41</v>
      </c>
      <c r="F1639" s="2">
        <v>49.9</v>
      </c>
      <c r="G1639" s="4">
        <v>44460.95229126158</v>
      </c>
      <c r="H1639" s="8">
        <v>44460.0</v>
      </c>
    </row>
    <row r="1640">
      <c r="A1640" s="2">
        <v>0.42</v>
      </c>
      <c r="B1640" s="2">
        <v>231.4</v>
      </c>
      <c r="C1640" s="2">
        <v>41.8</v>
      </c>
      <c r="D1640" s="2">
        <v>2.73</v>
      </c>
      <c r="E1640" s="2">
        <v>0.43</v>
      </c>
      <c r="F1640" s="2">
        <v>49.9</v>
      </c>
      <c r="G1640" s="4">
        <v>44460.95239983796</v>
      </c>
      <c r="H1640" s="8">
        <v>44460.0</v>
      </c>
    </row>
    <row r="1641">
      <c r="A1641" s="2">
        <v>0.42</v>
      </c>
      <c r="B1641" s="2">
        <v>231.4</v>
      </c>
      <c r="C1641" s="2">
        <v>42.2</v>
      </c>
      <c r="D1641" s="2">
        <v>2.73</v>
      </c>
      <c r="E1641" s="2">
        <v>0.44</v>
      </c>
      <c r="F1641" s="2">
        <v>49.9</v>
      </c>
      <c r="G1641" s="4">
        <v>44460.95250082176</v>
      </c>
      <c r="H1641" s="8">
        <v>44460.0</v>
      </c>
    </row>
    <row r="1642">
      <c r="A1642" s="2">
        <v>0.4</v>
      </c>
      <c r="B1642" s="2">
        <v>231.4</v>
      </c>
      <c r="C1642" s="2">
        <v>36.5</v>
      </c>
      <c r="D1642" s="2">
        <v>2.73</v>
      </c>
      <c r="E1642" s="2">
        <v>0.39</v>
      </c>
      <c r="F1642" s="2">
        <v>49.9</v>
      </c>
      <c r="G1642" s="4">
        <v>44460.95260431713</v>
      </c>
      <c r="H1642" s="8">
        <v>44460.0</v>
      </c>
    </row>
    <row r="1643">
      <c r="A1643" s="2">
        <v>0.4</v>
      </c>
      <c r="B1643" s="2">
        <v>231.4</v>
      </c>
      <c r="C1643" s="2">
        <v>36.9</v>
      </c>
      <c r="D1643" s="2">
        <v>2.73</v>
      </c>
      <c r="E1643" s="2">
        <v>0.4</v>
      </c>
      <c r="F1643" s="2">
        <v>49.9</v>
      </c>
      <c r="G1643" s="4">
        <v>44460.952704456024</v>
      </c>
      <c r="H1643" s="8">
        <v>44460.0</v>
      </c>
    </row>
    <row r="1644">
      <c r="A1644" s="2">
        <v>0.39</v>
      </c>
      <c r="B1644" s="2">
        <v>231.5</v>
      </c>
      <c r="C1644" s="2">
        <v>36.6</v>
      </c>
      <c r="D1644" s="2">
        <v>2.73</v>
      </c>
      <c r="E1644" s="2">
        <v>0.4</v>
      </c>
      <c r="F1644" s="2">
        <v>50.0</v>
      </c>
      <c r="G1644" s="4">
        <v>44460.9528112963</v>
      </c>
      <c r="H1644" s="8">
        <v>44460.0</v>
      </c>
    </row>
    <row r="1645">
      <c r="A1645" s="2">
        <v>0.4</v>
      </c>
      <c r="B1645" s="2">
        <v>231.4</v>
      </c>
      <c r="C1645" s="2">
        <v>38.5</v>
      </c>
      <c r="D1645" s="2">
        <v>2.73</v>
      </c>
      <c r="E1645" s="2">
        <v>0.42</v>
      </c>
      <c r="F1645" s="2">
        <v>50.0</v>
      </c>
      <c r="G1645" s="4">
        <v>44460.95291951389</v>
      </c>
      <c r="H1645" s="8">
        <v>44460.0</v>
      </c>
    </row>
    <row r="1646">
      <c r="A1646" s="2">
        <v>0.4</v>
      </c>
      <c r="B1646" s="2">
        <v>231.5</v>
      </c>
      <c r="C1646" s="2">
        <v>36.1</v>
      </c>
      <c r="D1646" s="2">
        <v>2.73</v>
      </c>
      <c r="E1646" s="2">
        <v>0.39</v>
      </c>
      <c r="F1646" s="2">
        <v>50.0</v>
      </c>
      <c r="G1646" s="4">
        <v>44460.95302340278</v>
      </c>
      <c r="H1646" s="8">
        <v>44460.0</v>
      </c>
    </row>
    <row r="1647">
      <c r="A1647" s="2">
        <v>0.4</v>
      </c>
      <c r="B1647" s="2">
        <v>231.6</v>
      </c>
      <c r="C1647" s="2">
        <v>35.0</v>
      </c>
      <c r="D1647" s="2">
        <v>2.73</v>
      </c>
      <c r="E1647" s="2">
        <v>0.38</v>
      </c>
      <c r="F1647" s="2">
        <v>50.0</v>
      </c>
      <c r="G1647" s="4">
        <v>44460.95312501157</v>
      </c>
      <c r="H1647" s="8">
        <v>44460.0</v>
      </c>
    </row>
    <row r="1648">
      <c r="A1648" s="2">
        <v>0.42</v>
      </c>
      <c r="B1648" s="2">
        <v>231.5</v>
      </c>
      <c r="C1648" s="2">
        <v>42.0</v>
      </c>
      <c r="D1648" s="2">
        <v>2.73</v>
      </c>
      <c r="E1648" s="2">
        <v>0.44</v>
      </c>
      <c r="F1648" s="2">
        <v>50.0</v>
      </c>
      <c r="G1648" s="4">
        <v>44460.95322739583</v>
      </c>
      <c r="H1648" s="8">
        <v>44460.0</v>
      </c>
    </row>
    <row r="1649">
      <c r="A1649" s="2">
        <v>0.41</v>
      </c>
      <c r="B1649" s="2">
        <v>231.5</v>
      </c>
      <c r="C1649" s="2">
        <v>41.4</v>
      </c>
      <c r="D1649" s="2">
        <v>2.73</v>
      </c>
      <c r="E1649" s="2">
        <v>0.43</v>
      </c>
      <c r="F1649" s="2">
        <v>50.0</v>
      </c>
      <c r="G1649" s="4">
        <v>44460.953330752316</v>
      </c>
      <c r="H1649" s="8">
        <v>44460.0</v>
      </c>
    </row>
    <row r="1650">
      <c r="A1650" s="2">
        <v>0.4</v>
      </c>
      <c r="B1650" s="2">
        <v>231.6</v>
      </c>
      <c r="C1650" s="2">
        <v>37.7</v>
      </c>
      <c r="D1650" s="2">
        <v>2.73</v>
      </c>
      <c r="E1650" s="2">
        <v>0.41</v>
      </c>
      <c r="F1650" s="2">
        <v>50.0</v>
      </c>
      <c r="G1650" s="4">
        <v>44460.953428761575</v>
      </c>
      <c r="H1650" s="8">
        <v>44460.0</v>
      </c>
    </row>
    <row r="1651">
      <c r="A1651" s="2">
        <v>0.41</v>
      </c>
      <c r="B1651" s="2">
        <v>233.1</v>
      </c>
      <c r="C1651" s="2">
        <v>42.5</v>
      </c>
      <c r="D1651" s="2">
        <v>2.73</v>
      </c>
      <c r="E1651" s="2">
        <v>0.44</v>
      </c>
      <c r="F1651" s="2">
        <v>50.0</v>
      </c>
      <c r="G1651" s="4">
        <v>44460.95353849537</v>
      </c>
      <c r="H1651" s="8">
        <v>44460.0</v>
      </c>
    </row>
    <row r="1652">
      <c r="A1652" s="2">
        <v>0.4</v>
      </c>
      <c r="B1652" s="2">
        <v>233.1</v>
      </c>
      <c r="C1652" s="2">
        <v>39.0</v>
      </c>
      <c r="D1652" s="2">
        <v>2.73</v>
      </c>
      <c r="E1652" s="2">
        <v>0.42</v>
      </c>
      <c r="F1652" s="2">
        <v>50.0</v>
      </c>
      <c r="G1652" s="4">
        <v>44460.95363887731</v>
      </c>
      <c r="H1652" s="8">
        <v>44460.0</v>
      </c>
    </row>
    <row r="1653">
      <c r="A1653" s="2">
        <v>0.41</v>
      </c>
      <c r="B1653" s="2">
        <v>233.0</v>
      </c>
      <c r="C1653" s="2">
        <v>41.8</v>
      </c>
      <c r="D1653" s="2">
        <v>2.73</v>
      </c>
      <c r="E1653" s="2">
        <v>0.44</v>
      </c>
      <c r="F1653" s="2">
        <v>50.0</v>
      </c>
      <c r="G1653" s="4">
        <v>44460.95374390046</v>
      </c>
      <c r="H1653" s="8">
        <v>44460.0</v>
      </c>
    </row>
    <row r="1654">
      <c r="A1654" s="2">
        <v>0.41</v>
      </c>
      <c r="B1654" s="2">
        <v>231.2</v>
      </c>
      <c r="C1654" s="2">
        <v>41.5</v>
      </c>
      <c r="D1654" s="2">
        <v>2.73</v>
      </c>
      <c r="E1654" s="2">
        <v>0.43</v>
      </c>
      <c r="F1654" s="2">
        <v>50.0</v>
      </c>
      <c r="G1654" s="4">
        <v>44460.95384123843</v>
      </c>
      <c r="H1654" s="8">
        <v>44460.0</v>
      </c>
    </row>
    <row r="1655">
      <c r="A1655" s="2">
        <v>0.41</v>
      </c>
      <c r="B1655" s="2">
        <v>231.2</v>
      </c>
      <c r="C1655" s="2">
        <v>41.2</v>
      </c>
      <c r="D1655" s="2">
        <v>2.73</v>
      </c>
      <c r="E1655" s="2">
        <v>0.43</v>
      </c>
      <c r="F1655" s="2">
        <v>49.9</v>
      </c>
      <c r="G1655" s="4">
        <v>44460.95395355324</v>
      </c>
      <c r="H1655" s="8">
        <v>44460.0</v>
      </c>
    </row>
    <row r="1656">
      <c r="A1656" s="2">
        <v>0.41</v>
      </c>
      <c r="B1656" s="2">
        <v>231.0</v>
      </c>
      <c r="C1656" s="2">
        <v>41.2</v>
      </c>
      <c r="D1656" s="2">
        <v>2.73</v>
      </c>
      <c r="E1656" s="2">
        <v>0.43</v>
      </c>
      <c r="F1656" s="2">
        <v>49.9</v>
      </c>
      <c r="G1656" s="4">
        <v>44460.954061261575</v>
      </c>
      <c r="H1656" s="8">
        <v>44460.0</v>
      </c>
    </row>
    <row r="1657">
      <c r="A1657" s="2">
        <v>0.42</v>
      </c>
      <c r="B1657" s="2">
        <v>231.1</v>
      </c>
      <c r="C1657" s="2">
        <v>42.0</v>
      </c>
      <c r="D1657" s="2">
        <v>2.73</v>
      </c>
      <c r="E1657" s="2">
        <v>0.44</v>
      </c>
      <c r="F1657" s="2">
        <v>49.9</v>
      </c>
      <c r="G1657" s="4">
        <v>44460.95416193287</v>
      </c>
      <c r="H1657" s="8">
        <v>44460.0</v>
      </c>
    </row>
    <row r="1658">
      <c r="A1658" s="2">
        <v>0.41</v>
      </c>
      <c r="B1658" s="2">
        <v>231.1</v>
      </c>
      <c r="C1658" s="2">
        <v>38.5</v>
      </c>
      <c r="D1658" s="2">
        <v>2.73</v>
      </c>
      <c r="E1658" s="2">
        <v>0.41</v>
      </c>
      <c r="F1658" s="2">
        <v>49.9</v>
      </c>
      <c r="G1658" s="4">
        <v>44460.954273599535</v>
      </c>
      <c r="H1658" s="8">
        <v>44460.0</v>
      </c>
    </row>
    <row r="1659">
      <c r="A1659" s="2">
        <v>0.41</v>
      </c>
      <c r="B1659" s="2">
        <v>231.0</v>
      </c>
      <c r="C1659" s="2">
        <v>41.1</v>
      </c>
      <c r="D1659" s="2">
        <v>2.73</v>
      </c>
      <c r="E1659" s="2">
        <v>0.43</v>
      </c>
      <c r="F1659" s="2">
        <v>49.9</v>
      </c>
      <c r="G1659" s="4">
        <v>44460.95437472222</v>
      </c>
      <c r="H1659" s="8">
        <v>44460.0</v>
      </c>
    </row>
    <row r="1660">
      <c r="A1660" s="2">
        <v>0.41</v>
      </c>
      <c r="B1660" s="2">
        <v>231.1</v>
      </c>
      <c r="C1660" s="2">
        <v>40.2</v>
      </c>
      <c r="D1660" s="2">
        <v>2.73</v>
      </c>
      <c r="E1660" s="2">
        <v>0.42</v>
      </c>
      <c r="F1660" s="2">
        <v>49.9</v>
      </c>
      <c r="G1660" s="4">
        <v>44460.95447353009</v>
      </c>
      <c r="H1660" s="8">
        <v>44460.0</v>
      </c>
    </row>
    <row r="1661">
      <c r="A1661" s="2">
        <v>0.41</v>
      </c>
      <c r="B1661" s="2">
        <v>231.0</v>
      </c>
      <c r="C1661" s="2">
        <v>40.8</v>
      </c>
      <c r="D1661" s="2">
        <v>2.73</v>
      </c>
      <c r="E1661" s="2">
        <v>0.43</v>
      </c>
      <c r="F1661" s="2">
        <v>50.0</v>
      </c>
      <c r="G1661" s="4">
        <v>44460.95458268518</v>
      </c>
      <c r="H1661" s="8">
        <v>44460.0</v>
      </c>
    </row>
    <row r="1662">
      <c r="A1662" s="2">
        <v>0.41</v>
      </c>
      <c r="B1662" s="2">
        <v>231.0</v>
      </c>
      <c r="C1662" s="2">
        <v>41.6</v>
      </c>
      <c r="D1662" s="2">
        <v>2.73</v>
      </c>
      <c r="E1662" s="2">
        <v>0.43</v>
      </c>
      <c r="F1662" s="2">
        <v>50.0</v>
      </c>
      <c r="G1662" s="4">
        <v>44460.95467918982</v>
      </c>
      <c r="H1662" s="8">
        <v>44460.0</v>
      </c>
    </row>
    <row r="1663">
      <c r="A1663" s="2">
        <v>0.41</v>
      </c>
      <c r="B1663" s="2">
        <v>231.1</v>
      </c>
      <c r="C1663" s="2">
        <v>40.8</v>
      </c>
      <c r="D1663" s="2">
        <v>2.73</v>
      </c>
      <c r="E1663" s="2">
        <v>0.43</v>
      </c>
      <c r="F1663" s="2">
        <v>50.0</v>
      </c>
      <c r="G1663" s="4">
        <v>44460.954777962965</v>
      </c>
      <c r="H1663" s="8">
        <v>44460.0</v>
      </c>
    </row>
    <row r="1664">
      <c r="A1664" s="2">
        <v>0.37</v>
      </c>
      <c r="B1664" s="2">
        <v>232.8</v>
      </c>
      <c r="C1664" s="2">
        <v>33.5</v>
      </c>
      <c r="D1664" s="2">
        <v>2.73</v>
      </c>
      <c r="E1664" s="2">
        <v>0.38</v>
      </c>
      <c r="F1664" s="2">
        <v>50.0</v>
      </c>
      <c r="G1664" s="4">
        <v>44460.954879247685</v>
      </c>
      <c r="H1664" s="8">
        <v>44460.0</v>
      </c>
    </row>
    <row r="1665">
      <c r="A1665" s="2">
        <v>0.39</v>
      </c>
      <c r="B1665" s="2">
        <v>232.7</v>
      </c>
      <c r="C1665" s="2">
        <v>34.5</v>
      </c>
      <c r="D1665" s="2">
        <v>2.73</v>
      </c>
      <c r="E1665" s="2">
        <v>0.38</v>
      </c>
      <c r="F1665" s="2">
        <v>50.0</v>
      </c>
      <c r="G1665" s="4">
        <v>44460.95498512732</v>
      </c>
      <c r="H1665" s="8">
        <v>44460.0</v>
      </c>
    </row>
    <row r="1666">
      <c r="A1666" s="2">
        <v>0.38</v>
      </c>
      <c r="B1666" s="2">
        <v>232.7</v>
      </c>
      <c r="C1666" s="2">
        <v>32.1</v>
      </c>
      <c r="D1666" s="2">
        <v>2.73</v>
      </c>
      <c r="E1666" s="2">
        <v>0.36</v>
      </c>
      <c r="F1666" s="2">
        <v>50.0</v>
      </c>
      <c r="G1666" s="4">
        <v>44460.955083946756</v>
      </c>
      <c r="H1666" s="8">
        <v>44460.0</v>
      </c>
    </row>
    <row r="1667">
      <c r="A1667" s="2">
        <v>0.41</v>
      </c>
      <c r="B1667" s="2">
        <v>232.7</v>
      </c>
      <c r="C1667" s="2">
        <v>40.9</v>
      </c>
      <c r="D1667" s="2">
        <v>2.73</v>
      </c>
      <c r="E1667" s="2">
        <v>0.43</v>
      </c>
      <c r="F1667" s="2">
        <v>50.0</v>
      </c>
      <c r="G1667" s="4">
        <v>44460.95518503472</v>
      </c>
      <c r="H1667" s="8">
        <v>44460.0</v>
      </c>
    </row>
    <row r="1668">
      <c r="A1668" s="2">
        <v>0.38</v>
      </c>
      <c r="B1668" s="2">
        <v>232.8</v>
      </c>
      <c r="C1668" s="2">
        <v>35.5</v>
      </c>
      <c r="D1668" s="2">
        <v>2.73</v>
      </c>
      <c r="E1668" s="2">
        <v>0.4</v>
      </c>
      <c r="F1668" s="2">
        <v>50.0</v>
      </c>
      <c r="G1668" s="4">
        <v>44460.955290196755</v>
      </c>
      <c r="H1668" s="8">
        <v>44460.0</v>
      </c>
    </row>
    <row r="1669">
      <c r="A1669" s="2">
        <v>0.41</v>
      </c>
      <c r="B1669" s="2">
        <v>232.7</v>
      </c>
      <c r="C1669" s="2">
        <v>40.2</v>
      </c>
      <c r="D1669" s="2">
        <v>2.73</v>
      </c>
      <c r="E1669" s="2">
        <v>0.42</v>
      </c>
      <c r="F1669" s="2">
        <v>50.0</v>
      </c>
      <c r="G1669" s="4">
        <v>44460.95539658565</v>
      </c>
      <c r="H1669" s="8">
        <v>44460.0</v>
      </c>
    </row>
    <row r="1670">
      <c r="A1670" s="2">
        <v>0.39</v>
      </c>
      <c r="B1670" s="2">
        <v>232.7</v>
      </c>
      <c r="C1670" s="2">
        <v>37.4</v>
      </c>
      <c r="D1670" s="2">
        <v>2.73</v>
      </c>
      <c r="E1670" s="2">
        <v>0.41</v>
      </c>
      <c r="F1670" s="2">
        <v>50.0</v>
      </c>
      <c r="G1670" s="4">
        <v>44460.9554952662</v>
      </c>
      <c r="H1670" s="8">
        <v>44460.0</v>
      </c>
    </row>
    <row r="1671">
      <c r="A1671" s="2">
        <v>0.41</v>
      </c>
      <c r="B1671" s="2">
        <v>232.7</v>
      </c>
      <c r="C1671" s="2">
        <v>40.3</v>
      </c>
      <c r="D1671" s="2">
        <v>2.73</v>
      </c>
      <c r="E1671" s="2">
        <v>0.43</v>
      </c>
      <c r="F1671" s="2">
        <v>49.9</v>
      </c>
      <c r="G1671" s="4">
        <v>44460.9555934838</v>
      </c>
      <c r="H1671" s="8">
        <v>44460.0</v>
      </c>
    </row>
    <row r="1672">
      <c r="A1672" s="2">
        <v>0.41</v>
      </c>
      <c r="B1672" s="2">
        <v>232.6</v>
      </c>
      <c r="C1672" s="2">
        <v>40.2</v>
      </c>
      <c r="D1672" s="2">
        <v>2.73</v>
      </c>
      <c r="E1672" s="2">
        <v>0.43</v>
      </c>
      <c r="F1672" s="2">
        <v>49.9</v>
      </c>
      <c r="G1672" s="4">
        <v>44460.95569724537</v>
      </c>
      <c r="H1672" s="8">
        <v>44460.0</v>
      </c>
    </row>
    <row r="1673">
      <c r="A1673" s="2">
        <v>0.41</v>
      </c>
      <c r="B1673" s="2">
        <v>232.7</v>
      </c>
      <c r="C1673" s="2">
        <v>40.7</v>
      </c>
      <c r="D1673" s="2">
        <v>2.73</v>
      </c>
      <c r="E1673" s="2">
        <v>0.43</v>
      </c>
      <c r="F1673" s="2">
        <v>49.9</v>
      </c>
      <c r="G1673" s="4">
        <v>44460.95579767361</v>
      </c>
      <c r="H1673" s="8">
        <v>44460.0</v>
      </c>
    </row>
    <row r="1674">
      <c r="A1674" s="2">
        <v>0.38</v>
      </c>
      <c r="B1674" s="2">
        <v>232.7</v>
      </c>
      <c r="C1674" s="2">
        <v>35.1</v>
      </c>
      <c r="D1674" s="2">
        <v>2.73</v>
      </c>
      <c r="E1674" s="2">
        <v>0.4</v>
      </c>
      <c r="F1674" s="2">
        <v>50.0</v>
      </c>
      <c r="G1674" s="4">
        <v>44460.955895625</v>
      </c>
      <c r="H1674" s="8">
        <v>44460.0</v>
      </c>
    </row>
    <row r="1675">
      <c r="A1675" s="2">
        <v>0.4</v>
      </c>
      <c r="B1675" s="2">
        <v>232.7</v>
      </c>
      <c r="C1675" s="2">
        <v>40.2</v>
      </c>
      <c r="D1675" s="2">
        <v>2.73</v>
      </c>
      <c r="E1675" s="2">
        <v>0.43</v>
      </c>
      <c r="F1675" s="2">
        <v>49.9</v>
      </c>
      <c r="G1675" s="4">
        <v>44460.95599653936</v>
      </c>
      <c r="H1675" s="8">
        <v>44460.0</v>
      </c>
    </row>
    <row r="1676">
      <c r="A1676" s="2">
        <v>0.41</v>
      </c>
      <c r="B1676" s="2">
        <v>232.7</v>
      </c>
      <c r="C1676" s="2">
        <v>40.5</v>
      </c>
      <c r="D1676" s="2">
        <v>2.73</v>
      </c>
      <c r="E1676" s="2">
        <v>0.43</v>
      </c>
      <c r="F1676" s="2">
        <v>49.9</v>
      </c>
      <c r="G1676" s="4">
        <v>44460.95609832176</v>
      </c>
      <c r="H1676" s="8">
        <v>44460.0</v>
      </c>
    </row>
    <row r="1677">
      <c r="A1677" s="2">
        <v>0.4</v>
      </c>
      <c r="B1677" s="2">
        <v>232.8</v>
      </c>
      <c r="C1677" s="2">
        <v>37.2</v>
      </c>
      <c r="D1677" s="2">
        <v>2.73</v>
      </c>
      <c r="E1677" s="2">
        <v>0.4</v>
      </c>
      <c r="F1677" s="2">
        <v>50.0</v>
      </c>
      <c r="G1677" s="4">
        <v>44460.95619842593</v>
      </c>
      <c r="H1677" s="8">
        <v>44460.0</v>
      </c>
    </row>
    <row r="1678">
      <c r="A1678" s="2">
        <v>0.37</v>
      </c>
      <c r="B1678" s="2">
        <v>233.0</v>
      </c>
      <c r="C1678" s="2">
        <v>33.3</v>
      </c>
      <c r="D1678" s="2">
        <v>2.73</v>
      </c>
      <c r="E1678" s="2">
        <v>0.38</v>
      </c>
      <c r="F1678" s="2">
        <v>50.0</v>
      </c>
      <c r="G1678" s="4">
        <v>44460.956297048615</v>
      </c>
      <c r="H1678" s="8">
        <v>44460.0</v>
      </c>
    </row>
    <row r="1679">
      <c r="A1679" s="2">
        <v>0.39</v>
      </c>
      <c r="B1679" s="2">
        <v>233.0</v>
      </c>
      <c r="C1679" s="2">
        <v>37.6</v>
      </c>
      <c r="D1679" s="2">
        <v>2.73</v>
      </c>
      <c r="E1679" s="2">
        <v>0.41</v>
      </c>
      <c r="F1679" s="2">
        <v>50.0</v>
      </c>
      <c r="G1679" s="4">
        <v>44460.95640340278</v>
      </c>
      <c r="H1679" s="8">
        <v>44460.0</v>
      </c>
    </row>
    <row r="1680">
      <c r="A1680" s="2">
        <v>0.38</v>
      </c>
      <c r="B1680" s="2">
        <v>233.2</v>
      </c>
      <c r="C1680" s="2">
        <v>35.2</v>
      </c>
      <c r="D1680" s="2">
        <v>2.73</v>
      </c>
      <c r="E1680" s="2">
        <v>0.4</v>
      </c>
      <c r="F1680" s="2">
        <v>50.0</v>
      </c>
      <c r="G1680" s="4">
        <v>44460.95650291667</v>
      </c>
      <c r="H1680" s="8">
        <v>44460.0</v>
      </c>
    </row>
    <row r="1681">
      <c r="A1681" s="2">
        <v>0.4</v>
      </c>
      <c r="B1681" s="2">
        <v>233.2</v>
      </c>
      <c r="C1681" s="2">
        <v>39.6</v>
      </c>
      <c r="D1681" s="2">
        <v>2.73</v>
      </c>
      <c r="E1681" s="2">
        <v>0.42</v>
      </c>
      <c r="F1681" s="2">
        <v>50.0</v>
      </c>
      <c r="G1681" s="4">
        <v>44460.95660251158</v>
      </c>
      <c r="H1681" s="8">
        <v>44460.0</v>
      </c>
    </row>
    <row r="1682">
      <c r="A1682" s="2">
        <v>0.4</v>
      </c>
      <c r="B1682" s="2">
        <v>233.2</v>
      </c>
      <c r="C1682" s="2">
        <v>39.8</v>
      </c>
      <c r="D1682" s="2">
        <v>2.73</v>
      </c>
      <c r="E1682" s="2">
        <v>0.42</v>
      </c>
      <c r="F1682" s="2">
        <v>50.0</v>
      </c>
      <c r="G1682" s="4">
        <v>44460.95670091435</v>
      </c>
      <c r="H1682" s="8">
        <v>44460.0</v>
      </c>
    </row>
    <row r="1683">
      <c r="A1683" s="2">
        <v>0.36</v>
      </c>
      <c r="B1683" s="2">
        <v>233.5</v>
      </c>
      <c r="C1683" s="2">
        <v>27.7</v>
      </c>
      <c r="D1683" s="2">
        <v>2.73</v>
      </c>
      <c r="E1683" s="2">
        <v>0.33</v>
      </c>
      <c r="F1683" s="2">
        <v>50.0</v>
      </c>
      <c r="G1683" s="4">
        <v>44460.956807951385</v>
      </c>
      <c r="H1683" s="8">
        <v>44460.0</v>
      </c>
    </row>
    <row r="1684">
      <c r="A1684" s="2">
        <v>0.4</v>
      </c>
      <c r="B1684" s="2">
        <v>233.4</v>
      </c>
      <c r="C1684" s="2">
        <v>39.3</v>
      </c>
      <c r="D1684" s="2">
        <v>2.73</v>
      </c>
      <c r="E1684" s="2">
        <v>0.42</v>
      </c>
      <c r="F1684" s="2">
        <v>50.0</v>
      </c>
      <c r="G1684" s="4">
        <v>44460.956912187496</v>
      </c>
      <c r="H1684" s="8">
        <v>44460.0</v>
      </c>
    </row>
    <row r="1685">
      <c r="A1685" s="2">
        <v>0.39</v>
      </c>
      <c r="B1685" s="2">
        <v>233.3</v>
      </c>
      <c r="C1685" s="2">
        <v>34.3</v>
      </c>
      <c r="D1685" s="2">
        <v>2.73</v>
      </c>
      <c r="E1685" s="2">
        <v>0.38</v>
      </c>
      <c r="F1685" s="2">
        <v>50.0</v>
      </c>
      <c r="G1685" s="4">
        <v>44460.957011307866</v>
      </c>
      <c r="H1685" s="8">
        <v>44460.0</v>
      </c>
    </row>
    <row r="1686">
      <c r="A1686" s="2">
        <v>0.4</v>
      </c>
      <c r="B1686" s="2">
        <v>233.4</v>
      </c>
      <c r="C1686" s="2">
        <v>40.0</v>
      </c>
      <c r="D1686" s="2">
        <v>2.73</v>
      </c>
      <c r="E1686" s="2">
        <v>0.42</v>
      </c>
      <c r="F1686" s="2">
        <v>50.0</v>
      </c>
      <c r="G1686" s="4">
        <v>44460.957108912036</v>
      </c>
      <c r="H1686" s="8">
        <v>44460.0</v>
      </c>
    </row>
    <row r="1687">
      <c r="A1687" s="2">
        <v>0.39</v>
      </c>
      <c r="B1687" s="2">
        <v>233.3</v>
      </c>
      <c r="C1687" s="2">
        <v>38.0</v>
      </c>
      <c r="D1687" s="2">
        <v>2.73</v>
      </c>
      <c r="E1687" s="2">
        <v>0.41</v>
      </c>
      <c r="F1687" s="2">
        <v>50.0</v>
      </c>
      <c r="G1687" s="4">
        <v>44460.95720925926</v>
      </c>
      <c r="H1687" s="8">
        <v>44460.0</v>
      </c>
    </row>
    <row r="1688">
      <c r="A1688" s="2">
        <v>0.41</v>
      </c>
      <c r="B1688" s="2">
        <v>233.3</v>
      </c>
      <c r="C1688" s="2">
        <v>39.7</v>
      </c>
      <c r="D1688" s="2">
        <v>2.73</v>
      </c>
      <c r="E1688" s="2">
        <v>0.42</v>
      </c>
      <c r="F1688" s="2">
        <v>50.0</v>
      </c>
      <c r="G1688" s="4">
        <v>44460.957311481485</v>
      </c>
      <c r="H1688" s="8">
        <v>44460.0</v>
      </c>
    </row>
    <row r="1689">
      <c r="A1689" s="2">
        <v>0.38</v>
      </c>
      <c r="B1689" s="2">
        <v>233.3</v>
      </c>
      <c r="C1689" s="2">
        <v>35.2</v>
      </c>
      <c r="D1689" s="2">
        <v>2.73</v>
      </c>
      <c r="E1689" s="2">
        <v>0.4</v>
      </c>
      <c r="F1689" s="2">
        <v>49.9</v>
      </c>
      <c r="G1689" s="4">
        <v>44460.95741333334</v>
      </c>
      <c r="H1689" s="8">
        <v>44460.0</v>
      </c>
    </row>
    <row r="1690">
      <c r="A1690" s="2">
        <v>0.35</v>
      </c>
      <c r="B1690" s="2">
        <v>233.2</v>
      </c>
      <c r="C1690" s="2">
        <v>28.6</v>
      </c>
      <c r="D1690" s="2">
        <v>2.73</v>
      </c>
      <c r="E1690" s="2">
        <v>0.35</v>
      </c>
      <c r="F1690" s="2">
        <v>49.9</v>
      </c>
      <c r="G1690" s="4">
        <v>44460.95751287037</v>
      </c>
      <c r="H1690" s="8">
        <v>44460.0</v>
      </c>
    </row>
    <row r="1691">
      <c r="A1691" s="2">
        <v>0.39</v>
      </c>
      <c r="B1691" s="2">
        <v>233.1</v>
      </c>
      <c r="C1691" s="2">
        <v>33.8</v>
      </c>
      <c r="D1691" s="2">
        <v>2.73</v>
      </c>
      <c r="E1691" s="2">
        <v>0.38</v>
      </c>
      <c r="F1691" s="2">
        <v>49.9</v>
      </c>
      <c r="G1691" s="4">
        <v>44460.95761543982</v>
      </c>
      <c r="H1691" s="8">
        <v>44460.0</v>
      </c>
    </row>
    <row r="1692">
      <c r="A1692" s="2">
        <v>0.4</v>
      </c>
      <c r="B1692" s="2">
        <v>233.1</v>
      </c>
      <c r="C1692" s="2">
        <v>39.5</v>
      </c>
      <c r="D1692" s="2">
        <v>2.73</v>
      </c>
      <c r="E1692" s="2">
        <v>0.42</v>
      </c>
      <c r="F1692" s="2">
        <v>49.9</v>
      </c>
      <c r="G1692" s="4">
        <v>44460.95771811342</v>
      </c>
      <c r="H1692" s="8">
        <v>44460.0</v>
      </c>
    </row>
    <row r="1693">
      <c r="A1693" s="2">
        <v>0.35</v>
      </c>
      <c r="B1693" s="2">
        <v>233.2</v>
      </c>
      <c r="C1693" s="2">
        <v>26.6</v>
      </c>
      <c r="D1693" s="2">
        <v>2.73</v>
      </c>
      <c r="E1693" s="2">
        <v>0.32</v>
      </c>
      <c r="F1693" s="2">
        <v>49.9</v>
      </c>
      <c r="G1693" s="4">
        <v>44460.957824745376</v>
      </c>
      <c r="H1693" s="8">
        <v>44460.0</v>
      </c>
    </row>
    <row r="1694">
      <c r="A1694" s="2">
        <v>0.4</v>
      </c>
      <c r="B1694" s="2">
        <v>233.2</v>
      </c>
      <c r="C1694" s="2">
        <v>38.5</v>
      </c>
      <c r="D1694" s="2">
        <v>2.73</v>
      </c>
      <c r="E1694" s="2">
        <v>0.41</v>
      </c>
      <c r="F1694" s="2">
        <v>50.0</v>
      </c>
      <c r="G1694" s="4">
        <v>44460.95792497685</v>
      </c>
      <c r="H1694" s="8">
        <v>44460.0</v>
      </c>
    </row>
    <row r="1695">
      <c r="A1695" s="2">
        <v>0.35</v>
      </c>
      <c r="B1695" s="2">
        <v>233.2</v>
      </c>
      <c r="C1695" s="2">
        <v>26.8</v>
      </c>
      <c r="D1695" s="2">
        <v>2.73</v>
      </c>
      <c r="E1695" s="2">
        <v>0.33</v>
      </c>
      <c r="F1695" s="2">
        <v>49.9</v>
      </c>
      <c r="G1695" s="4">
        <v>44460.95802644676</v>
      </c>
      <c r="H1695" s="8">
        <v>44460.0</v>
      </c>
    </row>
    <row r="1696">
      <c r="A1696" s="2">
        <v>0.4</v>
      </c>
      <c r="B1696" s="2">
        <v>233.2</v>
      </c>
      <c r="C1696" s="2">
        <v>38.5</v>
      </c>
      <c r="D1696" s="2">
        <v>2.73</v>
      </c>
      <c r="E1696" s="2">
        <v>0.41</v>
      </c>
      <c r="F1696" s="2">
        <v>50.0</v>
      </c>
      <c r="G1696" s="4">
        <v>44460.95812552083</v>
      </c>
      <c r="H1696" s="8">
        <v>44460.0</v>
      </c>
    </row>
    <row r="1697">
      <c r="A1697" s="2">
        <v>0.4</v>
      </c>
      <c r="B1697" s="2">
        <v>233.4</v>
      </c>
      <c r="C1697" s="2">
        <v>38.8</v>
      </c>
      <c r="D1697" s="2">
        <v>2.73</v>
      </c>
      <c r="E1697" s="2">
        <v>0.41</v>
      </c>
      <c r="F1697" s="2">
        <v>50.0</v>
      </c>
      <c r="G1697" s="4">
        <v>44460.95822702546</v>
      </c>
      <c r="H1697" s="8">
        <v>44460.0</v>
      </c>
    </row>
    <row r="1698">
      <c r="A1698" s="2">
        <v>0.35</v>
      </c>
      <c r="B1698" s="2">
        <v>233.5</v>
      </c>
      <c r="C1698" s="2">
        <v>25.8</v>
      </c>
      <c r="D1698" s="2">
        <v>2.73</v>
      </c>
      <c r="E1698" s="2">
        <v>0.31</v>
      </c>
      <c r="F1698" s="2">
        <v>50.0</v>
      </c>
      <c r="G1698" s="4">
        <v>44460.958327395834</v>
      </c>
      <c r="H1698" s="8">
        <v>44460.0</v>
      </c>
    </row>
    <row r="1699">
      <c r="A1699" s="2">
        <v>0.4</v>
      </c>
      <c r="B1699" s="2">
        <v>233.5</v>
      </c>
      <c r="C1699" s="2">
        <v>39.5</v>
      </c>
      <c r="D1699" s="2">
        <v>2.73</v>
      </c>
      <c r="E1699" s="2">
        <v>0.42</v>
      </c>
      <c r="F1699" s="2">
        <v>50.0</v>
      </c>
      <c r="G1699" s="4">
        <v>44460.95842753472</v>
      </c>
      <c r="H1699" s="8">
        <v>44460.0</v>
      </c>
    </row>
    <row r="1700">
      <c r="A1700" s="2">
        <v>0.35</v>
      </c>
      <c r="B1700" s="2">
        <v>233.6</v>
      </c>
      <c r="C1700" s="2">
        <v>25.9</v>
      </c>
      <c r="D1700" s="2">
        <v>2.73</v>
      </c>
      <c r="E1700" s="2">
        <v>0.32</v>
      </c>
      <c r="F1700" s="2">
        <v>50.0</v>
      </c>
      <c r="G1700" s="4">
        <v>44460.95852606482</v>
      </c>
      <c r="H1700" s="8">
        <v>44460.0</v>
      </c>
    </row>
    <row r="1701">
      <c r="A1701" s="2">
        <v>0.35</v>
      </c>
      <c r="B1701" s="2">
        <v>233.6</v>
      </c>
      <c r="C1701" s="2">
        <v>25.9</v>
      </c>
      <c r="D1701" s="2">
        <v>2.73</v>
      </c>
      <c r="E1701" s="2">
        <v>0.31</v>
      </c>
      <c r="F1701" s="2">
        <v>50.0</v>
      </c>
      <c r="G1701" s="4">
        <v>44460.95862658565</v>
      </c>
      <c r="H1701" s="8">
        <v>44460.0</v>
      </c>
    </row>
    <row r="1702">
      <c r="A1702" s="2">
        <v>0.36</v>
      </c>
      <c r="B1702" s="2">
        <v>233.5</v>
      </c>
      <c r="C1702" s="2">
        <v>29.5</v>
      </c>
      <c r="D1702" s="2">
        <v>2.73</v>
      </c>
      <c r="E1702" s="2">
        <v>0.35</v>
      </c>
      <c r="F1702" s="2">
        <v>50.0</v>
      </c>
      <c r="G1702" s="4">
        <v>44460.95872569444</v>
      </c>
      <c r="H1702" s="8">
        <v>44460.0</v>
      </c>
    </row>
    <row r="1703">
      <c r="A1703" s="2">
        <v>0.4</v>
      </c>
      <c r="B1703" s="2">
        <v>233.5</v>
      </c>
      <c r="C1703" s="2">
        <v>37.0</v>
      </c>
      <c r="D1703" s="2">
        <v>2.73</v>
      </c>
      <c r="E1703" s="2">
        <v>0.4</v>
      </c>
      <c r="F1703" s="2">
        <v>50.0</v>
      </c>
      <c r="G1703" s="4">
        <v>44460.95883024306</v>
      </c>
      <c r="H1703" s="8">
        <v>44460.0</v>
      </c>
    </row>
    <row r="1704">
      <c r="A1704" s="2">
        <v>0.38</v>
      </c>
      <c r="B1704" s="2">
        <v>233.5</v>
      </c>
      <c r="C1704" s="2">
        <v>31.1</v>
      </c>
      <c r="D1704" s="2">
        <v>2.73</v>
      </c>
      <c r="E1704" s="2">
        <v>0.35</v>
      </c>
      <c r="F1704" s="2">
        <v>50.0</v>
      </c>
      <c r="G1704" s="4">
        <v>44460.958936967596</v>
      </c>
      <c r="H1704" s="8">
        <v>44460.0</v>
      </c>
    </row>
    <row r="1705">
      <c r="A1705" s="2">
        <v>0.34</v>
      </c>
      <c r="B1705" s="2">
        <v>233.2</v>
      </c>
      <c r="C1705" s="2">
        <v>24.5</v>
      </c>
      <c r="D1705" s="2">
        <v>2.73</v>
      </c>
      <c r="E1705" s="2">
        <v>0.31</v>
      </c>
      <c r="F1705" s="2">
        <v>50.0</v>
      </c>
      <c r="G1705" s="4">
        <v>44460.95904263889</v>
      </c>
      <c r="H1705" s="8">
        <v>44460.0</v>
      </c>
    </row>
    <row r="1706">
      <c r="A1706" s="2">
        <v>0.35</v>
      </c>
      <c r="B1706" s="2">
        <v>233.2</v>
      </c>
      <c r="C1706" s="2">
        <v>26.3</v>
      </c>
      <c r="D1706" s="2">
        <v>2.73</v>
      </c>
      <c r="E1706" s="2">
        <v>0.33</v>
      </c>
      <c r="F1706" s="2">
        <v>50.0</v>
      </c>
      <c r="G1706" s="4">
        <v>44460.959139548606</v>
      </c>
      <c r="H1706" s="8">
        <v>44460.0</v>
      </c>
    </row>
    <row r="1707">
      <c r="A1707" s="2">
        <v>0.37</v>
      </c>
      <c r="B1707" s="2">
        <v>233.2</v>
      </c>
      <c r="C1707" s="2">
        <v>32.2</v>
      </c>
      <c r="D1707" s="2">
        <v>2.73</v>
      </c>
      <c r="E1707" s="2">
        <v>0.38</v>
      </c>
      <c r="F1707" s="2">
        <v>49.9</v>
      </c>
      <c r="G1707" s="4">
        <v>44460.95923912037</v>
      </c>
      <c r="H1707" s="8">
        <v>44460.0</v>
      </c>
    </row>
    <row r="1708">
      <c r="A1708" s="2">
        <v>0.35</v>
      </c>
      <c r="B1708" s="2">
        <v>233.2</v>
      </c>
      <c r="C1708" s="2">
        <v>25.1</v>
      </c>
      <c r="D1708" s="2">
        <v>2.73</v>
      </c>
      <c r="E1708" s="2">
        <v>0.31</v>
      </c>
      <c r="F1708" s="2">
        <v>50.0</v>
      </c>
      <c r="G1708" s="4">
        <v>44460.95933563657</v>
      </c>
      <c r="H1708" s="8">
        <v>44460.0</v>
      </c>
    </row>
    <row r="1709">
      <c r="A1709" s="2">
        <v>0.35</v>
      </c>
      <c r="B1709" s="2">
        <v>233.0</v>
      </c>
      <c r="C1709" s="2">
        <v>26.5</v>
      </c>
      <c r="D1709" s="2">
        <v>2.73</v>
      </c>
      <c r="E1709" s="2">
        <v>0.33</v>
      </c>
      <c r="F1709" s="2">
        <v>50.0</v>
      </c>
      <c r="G1709" s="4">
        <v>44460.95943640046</v>
      </c>
      <c r="H1709" s="8">
        <v>44460.0</v>
      </c>
    </row>
    <row r="1710">
      <c r="A1710" s="2">
        <v>0.36</v>
      </c>
      <c r="B1710" s="2">
        <v>233.1</v>
      </c>
      <c r="C1710" s="2">
        <v>30.6</v>
      </c>
      <c r="D1710" s="2">
        <v>2.73</v>
      </c>
      <c r="E1710" s="2">
        <v>0.36</v>
      </c>
      <c r="F1710" s="2">
        <v>49.9</v>
      </c>
      <c r="G1710" s="4">
        <v>44460.95953736111</v>
      </c>
      <c r="H1710" s="8">
        <v>44460.0</v>
      </c>
    </row>
    <row r="1711">
      <c r="A1711" s="2">
        <v>0.37</v>
      </c>
      <c r="B1711" s="2">
        <v>233.1</v>
      </c>
      <c r="C1711" s="2">
        <v>33.4</v>
      </c>
      <c r="D1711" s="2">
        <v>2.73</v>
      </c>
      <c r="E1711" s="2">
        <v>0.38</v>
      </c>
      <c r="F1711" s="2">
        <v>49.9</v>
      </c>
      <c r="G1711" s="4">
        <v>44460.95963709491</v>
      </c>
      <c r="H1711" s="8">
        <v>44460.0</v>
      </c>
    </row>
    <row r="1712">
      <c r="A1712" s="2">
        <v>0.35</v>
      </c>
      <c r="B1712" s="2">
        <v>233.3</v>
      </c>
      <c r="C1712" s="2">
        <v>24.9</v>
      </c>
      <c r="D1712" s="2">
        <v>2.73</v>
      </c>
      <c r="E1712" s="2">
        <v>0.31</v>
      </c>
      <c r="F1712" s="2">
        <v>49.9</v>
      </c>
      <c r="G1712" s="4">
        <v>44460.95974136574</v>
      </c>
      <c r="H1712" s="8">
        <v>44460.0</v>
      </c>
    </row>
    <row r="1713">
      <c r="A1713" s="2">
        <v>0.4</v>
      </c>
      <c r="B1713" s="2">
        <v>231.7</v>
      </c>
      <c r="C1713" s="2">
        <v>37.9</v>
      </c>
      <c r="D1713" s="2">
        <v>2.73</v>
      </c>
      <c r="E1713" s="2">
        <v>0.41</v>
      </c>
      <c r="F1713" s="2">
        <v>49.9</v>
      </c>
      <c r="G1713" s="4">
        <v>44460.95984800926</v>
      </c>
      <c r="H1713" s="8">
        <v>44460.0</v>
      </c>
    </row>
    <row r="1714">
      <c r="A1714" s="2">
        <v>0.4</v>
      </c>
      <c r="B1714" s="2">
        <v>231.7</v>
      </c>
      <c r="C1714" s="2">
        <v>36.8</v>
      </c>
      <c r="D1714" s="2">
        <v>2.73</v>
      </c>
      <c r="E1714" s="2">
        <v>0.4</v>
      </c>
      <c r="F1714" s="2">
        <v>50.0</v>
      </c>
      <c r="G1714" s="4">
        <v>44460.9599499537</v>
      </c>
      <c r="H1714" s="8">
        <v>44460.0</v>
      </c>
    </row>
    <row r="1715">
      <c r="A1715" s="2">
        <v>0.39</v>
      </c>
      <c r="B1715" s="2">
        <v>231.9</v>
      </c>
      <c r="C1715" s="2">
        <v>34.6</v>
      </c>
      <c r="D1715" s="2">
        <v>2.73</v>
      </c>
      <c r="E1715" s="2">
        <v>0.38</v>
      </c>
      <c r="F1715" s="2">
        <v>50.0</v>
      </c>
      <c r="G1715" s="4">
        <v>44460.96005347223</v>
      </c>
      <c r="H1715" s="8">
        <v>44460.0</v>
      </c>
    </row>
    <row r="1716">
      <c r="A1716" s="2">
        <v>0.4</v>
      </c>
      <c r="B1716" s="2">
        <v>231.6</v>
      </c>
      <c r="C1716" s="2">
        <v>35.0</v>
      </c>
      <c r="D1716" s="2">
        <v>2.73</v>
      </c>
      <c r="E1716" s="2">
        <v>0.38</v>
      </c>
      <c r="F1716" s="2">
        <v>50.0</v>
      </c>
      <c r="G1716" s="4">
        <v>44460.96015670139</v>
      </c>
      <c r="H1716" s="8">
        <v>44460.0</v>
      </c>
    </row>
    <row r="1717">
      <c r="A1717" s="2">
        <v>0.4</v>
      </c>
      <c r="B1717" s="2">
        <v>231.5</v>
      </c>
      <c r="C1717" s="2">
        <v>35.0</v>
      </c>
      <c r="D1717" s="2">
        <v>2.73</v>
      </c>
      <c r="E1717" s="2">
        <v>0.38</v>
      </c>
      <c r="F1717" s="2">
        <v>50.0</v>
      </c>
      <c r="G1717" s="4">
        <v>44460.96025708334</v>
      </c>
      <c r="H1717" s="8">
        <v>44460.0</v>
      </c>
    </row>
    <row r="1718">
      <c r="A1718" s="2">
        <v>0.35</v>
      </c>
      <c r="B1718" s="2">
        <v>231.5</v>
      </c>
      <c r="C1718" s="2">
        <v>27.1</v>
      </c>
      <c r="D1718" s="2">
        <v>2.73</v>
      </c>
      <c r="E1718" s="2">
        <v>0.33</v>
      </c>
      <c r="F1718" s="2">
        <v>50.0</v>
      </c>
      <c r="G1718" s="4">
        <v>44460.96036025463</v>
      </c>
      <c r="H1718" s="8">
        <v>44460.0</v>
      </c>
    </row>
    <row r="1719">
      <c r="A1719" s="2">
        <v>0.38</v>
      </c>
      <c r="B1719" s="2">
        <v>231.4</v>
      </c>
      <c r="C1719" s="2">
        <v>32.7</v>
      </c>
      <c r="D1719" s="2">
        <v>2.73</v>
      </c>
      <c r="E1719" s="2">
        <v>0.38</v>
      </c>
      <c r="F1719" s="2">
        <v>50.0</v>
      </c>
      <c r="G1719" s="4">
        <v>44460.96050112268</v>
      </c>
      <c r="H1719" s="8">
        <v>44460.0</v>
      </c>
    </row>
    <row r="1720">
      <c r="A1720" s="2">
        <v>0.37</v>
      </c>
      <c r="B1720" s="2">
        <v>231.3</v>
      </c>
      <c r="C1720" s="2">
        <v>31.2</v>
      </c>
      <c r="D1720" s="2">
        <v>2.73</v>
      </c>
      <c r="E1720" s="2">
        <v>0.37</v>
      </c>
      <c r="F1720" s="2">
        <v>49.9</v>
      </c>
      <c r="G1720" s="4">
        <v>44460.96060417824</v>
      </c>
      <c r="H1720" s="8">
        <v>44460.0</v>
      </c>
    </row>
    <row r="1721">
      <c r="A1721" s="2">
        <v>0.35</v>
      </c>
      <c r="B1721" s="2">
        <v>231.3</v>
      </c>
      <c r="C1721" s="2">
        <v>27.3</v>
      </c>
      <c r="D1721" s="2">
        <v>2.73</v>
      </c>
      <c r="E1721" s="2">
        <v>0.33</v>
      </c>
      <c r="F1721" s="2">
        <v>49.9</v>
      </c>
      <c r="G1721" s="4">
        <v>44460.96070643519</v>
      </c>
      <c r="H1721" s="8">
        <v>44460.0</v>
      </c>
    </row>
    <row r="1722">
      <c r="A1722" s="2">
        <v>0.38</v>
      </c>
      <c r="B1722" s="2">
        <v>232.9</v>
      </c>
      <c r="C1722" s="2">
        <v>33.4</v>
      </c>
      <c r="D1722" s="2">
        <v>2.73</v>
      </c>
      <c r="E1722" s="2">
        <v>0.37</v>
      </c>
      <c r="F1722" s="2">
        <v>49.9</v>
      </c>
      <c r="G1722" s="4">
        <v>44460.960804201386</v>
      </c>
      <c r="H1722" s="8">
        <v>44460.0</v>
      </c>
    </row>
    <row r="1723">
      <c r="A1723" s="2">
        <v>0.39</v>
      </c>
      <c r="B1723" s="2">
        <v>232.9</v>
      </c>
      <c r="C1723" s="2">
        <v>36.5</v>
      </c>
      <c r="D1723" s="2">
        <v>2.73</v>
      </c>
      <c r="E1723" s="2">
        <v>0.4</v>
      </c>
      <c r="F1723" s="2">
        <v>49.9</v>
      </c>
      <c r="G1723" s="4">
        <v>44460.960905995365</v>
      </c>
      <c r="H1723" s="8">
        <v>44460.0</v>
      </c>
    </row>
    <row r="1724">
      <c r="A1724" s="2">
        <v>0.37</v>
      </c>
      <c r="B1724" s="2">
        <v>232.9</v>
      </c>
      <c r="C1724" s="2">
        <v>31.8</v>
      </c>
      <c r="D1724" s="2">
        <v>2.73</v>
      </c>
      <c r="E1724" s="2">
        <v>0.37</v>
      </c>
      <c r="F1724" s="2">
        <v>49.9</v>
      </c>
      <c r="G1724" s="4">
        <v>44460.961009039354</v>
      </c>
      <c r="H1724" s="8">
        <v>44460.0</v>
      </c>
    </row>
    <row r="1725">
      <c r="A1725" s="2">
        <v>0.34</v>
      </c>
      <c r="B1725" s="2">
        <v>232.8</v>
      </c>
      <c r="C1725" s="2">
        <v>25.1</v>
      </c>
      <c r="D1725" s="2">
        <v>2.74</v>
      </c>
      <c r="E1725" s="2">
        <v>0.32</v>
      </c>
      <c r="F1725" s="2">
        <v>49.9</v>
      </c>
      <c r="G1725" s="4">
        <v>44460.961108668984</v>
      </c>
      <c r="H1725" s="8">
        <v>44460.0</v>
      </c>
    </row>
    <row r="1726">
      <c r="A1726" s="2">
        <v>0.34</v>
      </c>
      <c r="B1726" s="2">
        <v>232.8</v>
      </c>
      <c r="C1726" s="2">
        <v>23.7</v>
      </c>
      <c r="D1726" s="2">
        <v>2.74</v>
      </c>
      <c r="E1726" s="2">
        <v>0.3</v>
      </c>
      <c r="F1726" s="2">
        <v>49.9</v>
      </c>
      <c r="G1726" s="4">
        <v>44460.96121429398</v>
      </c>
      <c r="H1726" s="8">
        <v>44460.0</v>
      </c>
    </row>
    <row r="1727">
      <c r="A1727" s="2">
        <v>0.35</v>
      </c>
      <c r="B1727" s="2">
        <v>232.8</v>
      </c>
      <c r="C1727" s="2">
        <v>24.0</v>
      </c>
      <c r="D1727" s="2">
        <v>2.74</v>
      </c>
      <c r="E1727" s="2">
        <v>0.3</v>
      </c>
      <c r="F1727" s="2">
        <v>49.9</v>
      </c>
      <c r="G1727" s="4">
        <v>44460.9613212963</v>
      </c>
      <c r="H1727" s="8">
        <v>44460.0</v>
      </c>
    </row>
    <row r="1728">
      <c r="A1728" s="2">
        <v>0.37</v>
      </c>
      <c r="B1728" s="2">
        <v>232.8</v>
      </c>
      <c r="C1728" s="2">
        <v>28.6</v>
      </c>
      <c r="D1728" s="2">
        <v>2.74</v>
      </c>
      <c r="E1728" s="2">
        <v>0.34</v>
      </c>
      <c r="F1728" s="2">
        <v>49.9</v>
      </c>
      <c r="G1728" s="4">
        <v>44460.96142383102</v>
      </c>
      <c r="H1728" s="8">
        <v>44460.0</v>
      </c>
    </row>
    <row r="1729">
      <c r="A1729" s="2">
        <v>0.39</v>
      </c>
      <c r="B1729" s="2">
        <v>232.8</v>
      </c>
      <c r="C1729" s="2">
        <v>36.0</v>
      </c>
      <c r="D1729" s="2">
        <v>2.74</v>
      </c>
      <c r="E1729" s="2">
        <v>0.39</v>
      </c>
      <c r="F1729" s="2">
        <v>49.9</v>
      </c>
      <c r="G1729" s="4">
        <v>44460.96153140046</v>
      </c>
      <c r="H1729" s="8">
        <v>44460.0</v>
      </c>
    </row>
    <row r="1730">
      <c r="A1730" s="2">
        <v>0.36</v>
      </c>
      <c r="B1730" s="2">
        <v>233.1</v>
      </c>
      <c r="C1730" s="2">
        <v>27.6</v>
      </c>
      <c r="D1730" s="2">
        <v>2.74</v>
      </c>
      <c r="E1730" s="2">
        <v>0.33</v>
      </c>
      <c r="F1730" s="2">
        <v>50.0</v>
      </c>
      <c r="G1730" s="4">
        <v>44460.961636527776</v>
      </c>
      <c r="H1730" s="8">
        <v>44460.0</v>
      </c>
    </row>
    <row r="1731">
      <c r="A1731" s="2">
        <v>0.34</v>
      </c>
      <c r="B1731" s="2">
        <v>233.2</v>
      </c>
      <c r="C1731" s="2">
        <v>24.0</v>
      </c>
      <c r="D1731" s="2">
        <v>2.74</v>
      </c>
      <c r="E1731" s="2">
        <v>0.3</v>
      </c>
      <c r="F1731" s="2">
        <v>50.0</v>
      </c>
      <c r="G1731" s="4">
        <v>44460.961739895836</v>
      </c>
      <c r="H1731" s="8">
        <v>44460.0</v>
      </c>
    </row>
    <row r="1732">
      <c r="A1732" s="2">
        <v>0.36</v>
      </c>
      <c r="B1732" s="2">
        <v>233.4</v>
      </c>
      <c r="C1732" s="2">
        <v>28.8</v>
      </c>
      <c r="D1732" s="2">
        <v>2.74</v>
      </c>
      <c r="E1732" s="2">
        <v>0.35</v>
      </c>
      <c r="F1732" s="2">
        <v>50.0</v>
      </c>
      <c r="G1732" s="4">
        <v>44460.961855092595</v>
      </c>
      <c r="H1732" s="8">
        <v>44460.0</v>
      </c>
    </row>
    <row r="1733">
      <c r="A1733" s="2">
        <v>0.34</v>
      </c>
      <c r="B1733" s="2">
        <v>233.5</v>
      </c>
      <c r="C1733" s="2">
        <v>22.6</v>
      </c>
      <c r="D1733" s="2">
        <v>2.74</v>
      </c>
      <c r="E1733" s="2">
        <v>0.29</v>
      </c>
      <c r="F1733" s="2">
        <v>50.0</v>
      </c>
      <c r="G1733" s="4">
        <v>44460.96196356481</v>
      </c>
      <c r="H1733" s="8">
        <v>44460.0</v>
      </c>
    </row>
    <row r="1734">
      <c r="A1734" s="2">
        <v>0.34</v>
      </c>
      <c r="B1734" s="2">
        <v>233.4</v>
      </c>
      <c r="C1734" s="2">
        <v>23.2</v>
      </c>
      <c r="D1734" s="2">
        <v>2.74</v>
      </c>
      <c r="E1734" s="2">
        <v>0.29</v>
      </c>
      <c r="F1734" s="2">
        <v>50.0</v>
      </c>
      <c r="G1734" s="4">
        <v>44460.96206909722</v>
      </c>
      <c r="H1734" s="8">
        <v>44460.0</v>
      </c>
    </row>
    <row r="1735">
      <c r="A1735" s="2">
        <v>0.38</v>
      </c>
      <c r="B1735" s="2">
        <v>233.5</v>
      </c>
      <c r="C1735" s="2">
        <v>35.1</v>
      </c>
      <c r="D1735" s="2">
        <v>2.74</v>
      </c>
      <c r="E1735" s="2">
        <v>0.39</v>
      </c>
      <c r="F1735" s="2">
        <v>50.0</v>
      </c>
      <c r="G1735" s="4">
        <v>44460.96216756944</v>
      </c>
      <c r="H1735" s="8">
        <v>44460.0</v>
      </c>
    </row>
    <row r="1736">
      <c r="A1736" s="2">
        <v>0.38</v>
      </c>
      <c r="B1736" s="2">
        <v>233.4</v>
      </c>
      <c r="C1736" s="2">
        <v>34.7</v>
      </c>
      <c r="D1736" s="2">
        <v>2.74</v>
      </c>
      <c r="E1736" s="2">
        <v>0.39</v>
      </c>
      <c r="F1736" s="2">
        <v>50.0</v>
      </c>
      <c r="G1736" s="4">
        <v>44460.96227659722</v>
      </c>
      <c r="H1736" s="8">
        <v>44460.0</v>
      </c>
    </row>
    <row r="1737">
      <c r="A1737" s="2">
        <v>0.34</v>
      </c>
      <c r="B1737" s="2">
        <v>233.3</v>
      </c>
      <c r="C1737" s="2">
        <v>23.0</v>
      </c>
      <c r="D1737" s="2">
        <v>2.74</v>
      </c>
      <c r="E1737" s="2">
        <v>0.29</v>
      </c>
      <c r="F1737" s="2">
        <v>50.0</v>
      </c>
      <c r="G1737" s="4">
        <v>44460.96241086806</v>
      </c>
      <c r="H1737" s="8">
        <v>44460.0</v>
      </c>
    </row>
    <row r="1738">
      <c r="A1738" s="2">
        <v>0.39</v>
      </c>
      <c r="B1738" s="2">
        <v>233.2</v>
      </c>
      <c r="C1738" s="2">
        <v>34.1</v>
      </c>
      <c r="D1738" s="2">
        <v>2.74</v>
      </c>
      <c r="E1738" s="2">
        <v>0.38</v>
      </c>
      <c r="F1738" s="2">
        <v>49.9</v>
      </c>
      <c r="G1738" s="4">
        <v>44460.962511377315</v>
      </c>
      <c r="H1738" s="8">
        <v>44460.0</v>
      </c>
    </row>
    <row r="1739">
      <c r="A1739" s="2">
        <v>0.34</v>
      </c>
      <c r="B1739" s="2">
        <v>233.2</v>
      </c>
      <c r="C1739" s="2">
        <v>23.1</v>
      </c>
      <c r="D1739" s="2">
        <v>2.74</v>
      </c>
      <c r="E1739" s="2">
        <v>0.29</v>
      </c>
      <c r="F1739" s="2">
        <v>49.9</v>
      </c>
      <c r="G1739" s="4">
        <v>44460.962616944445</v>
      </c>
      <c r="H1739" s="8">
        <v>44460.0</v>
      </c>
    </row>
    <row r="1740">
      <c r="A1740" s="2">
        <v>0.36</v>
      </c>
      <c r="B1740" s="2">
        <v>233.3</v>
      </c>
      <c r="C1740" s="2">
        <v>27.6</v>
      </c>
      <c r="D1740" s="2">
        <v>2.74</v>
      </c>
      <c r="E1740" s="2">
        <v>0.33</v>
      </c>
      <c r="F1740" s="2">
        <v>50.0</v>
      </c>
      <c r="G1740" s="4">
        <v>44460.96272438657</v>
      </c>
      <c r="H1740" s="8">
        <v>44460.0</v>
      </c>
    </row>
    <row r="1741">
      <c r="A1741" s="2">
        <v>0.35</v>
      </c>
      <c r="B1741" s="2">
        <v>233.8</v>
      </c>
      <c r="C1741" s="2">
        <v>28.1</v>
      </c>
      <c r="D1741" s="2">
        <v>2.74</v>
      </c>
      <c r="E1741" s="2">
        <v>0.34</v>
      </c>
      <c r="F1741" s="2">
        <v>50.0</v>
      </c>
      <c r="G1741" s="4">
        <v>44460.9628240625</v>
      </c>
      <c r="H1741" s="8">
        <v>44460.0</v>
      </c>
    </row>
    <row r="1742">
      <c r="A1742" s="2">
        <v>0.38</v>
      </c>
      <c r="B1742" s="2">
        <v>234.2</v>
      </c>
      <c r="C1742" s="2">
        <v>34.1</v>
      </c>
      <c r="D1742" s="2">
        <v>2.74</v>
      </c>
      <c r="E1742" s="2">
        <v>0.38</v>
      </c>
      <c r="F1742" s="2">
        <v>50.0</v>
      </c>
      <c r="G1742" s="4">
        <v>44460.96292460649</v>
      </c>
      <c r="H1742" s="8">
        <v>44460.0</v>
      </c>
    </row>
    <row r="1743">
      <c r="A1743" s="2">
        <v>0.33</v>
      </c>
      <c r="B1743" s="2">
        <v>233.9</v>
      </c>
      <c r="C1743" s="2">
        <v>22.4</v>
      </c>
      <c r="D1743" s="2">
        <v>2.74</v>
      </c>
      <c r="E1743" s="2">
        <v>0.29</v>
      </c>
      <c r="F1743" s="2">
        <v>50.0</v>
      </c>
      <c r="G1743" s="4">
        <v>44460.96302846065</v>
      </c>
      <c r="H1743" s="8">
        <v>44460.0</v>
      </c>
    </row>
    <row r="1744">
      <c r="A1744" s="2">
        <v>0.34</v>
      </c>
      <c r="B1744" s="2">
        <v>233.9</v>
      </c>
      <c r="C1744" s="2">
        <v>21.5</v>
      </c>
      <c r="D1744" s="2">
        <v>2.74</v>
      </c>
      <c r="E1744" s="2">
        <v>0.27</v>
      </c>
      <c r="F1744" s="2">
        <v>50.0</v>
      </c>
      <c r="G1744" s="4">
        <v>44460.96313469908</v>
      </c>
      <c r="H1744" s="8">
        <v>44460.0</v>
      </c>
    </row>
    <row r="1745">
      <c r="A1745" s="2">
        <v>0.36</v>
      </c>
      <c r="B1745" s="2">
        <v>233.9</v>
      </c>
      <c r="C1745" s="2">
        <v>29.7</v>
      </c>
      <c r="D1745" s="2">
        <v>2.74</v>
      </c>
      <c r="E1745" s="2">
        <v>0.35</v>
      </c>
      <c r="F1745" s="2">
        <v>50.0</v>
      </c>
      <c r="G1745" s="4">
        <v>44460.963233993054</v>
      </c>
      <c r="H1745" s="8">
        <v>44460.0</v>
      </c>
    </row>
    <row r="1746">
      <c r="A1746" s="2">
        <v>0.34</v>
      </c>
      <c r="B1746" s="2">
        <v>233.9</v>
      </c>
      <c r="C1746" s="2">
        <v>22.5</v>
      </c>
      <c r="D1746" s="2">
        <v>2.74</v>
      </c>
      <c r="E1746" s="2">
        <v>0.28</v>
      </c>
      <c r="F1746" s="2">
        <v>50.0</v>
      </c>
      <c r="G1746" s="4">
        <v>44460.96333643519</v>
      </c>
      <c r="H1746" s="8">
        <v>44460.0</v>
      </c>
    </row>
    <row r="1747">
      <c r="A1747" s="2">
        <v>0.37</v>
      </c>
      <c r="B1747" s="2">
        <v>233.6</v>
      </c>
      <c r="C1747" s="2">
        <v>33.1</v>
      </c>
      <c r="D1747" s="2">
        <v>2.74</v>
      </c>
      <c r="E1747" s="2">
        <v>0.38</v>
      </c>
      <c r="F1747" s="2">
        <v>50.0</v>
      </c>
      <c r="G1747" s="4">
        <v>44460.96343996528</v>
      </c>
      <c r="H1747" s="8">
        <v>44460.0</v>
      </c>
    </row>
    <row r="1748">
      <c r="A1748" s="2">
        <v>0.35</v>
      </c>
      <c r="B1748" s="2">
        <v>233.6</v>
      </c>
      <c r="C1748" s="2">
        <v>28.5</v>
      </c>
      <c r="D1748" s="2">
        <v>2.74</v>
      </c>
      <c r="E1748" s="2">
        <v>0.34</v>
      </c>
      <c r="F1748" s="2">
        <v>50.0</v>
      </c>
      <c r="G1748" s="4">
        <v>44460.96354734954</v>
      </c>
      <c r="H1748" s="8">
        <v>44460.0</v>
      </c>
    </row>
    <row r="1749">
      <c r="A1749" s="2">
        <v>0.38</v>
      </c>
      <c r="B1749" s="2">
        <v>233.5</v>
      </c>
      <c r="C1749" s="2">
        <v>33.2</v>
      </c>
      <c r="D1749" s="2">
        <v>2.74</v>
      </c>
      <c r="E1749" s="2">
        <v>0.38</v>
      </c>
      <c r="F1749" s="2">
        <v>49.9</v>
      </c>
      <c r="G1749" s="4">
        <v>44460.96365052083</v>
      </c>
      <c r="H1749" s="8">
        <v>44460.0</v>
      </c>
    </row>
    <row r="1750">
      <c r="A1750" s="2">
        <v>0.38</v>
      </c>
      <c r="B1750" s="2">
        <v>233.6</v>
      </c>
      <c r="C1750" s="2">
        <v>31.5</v>
      </c>
      <c r="D1750" s="2">
        <v>2.74</v>
      </c>
      <c r="E1750" s="2">
        <v>0.36</v>
      </c>
      <c r="F1750" s="2">
        <v>49.9</v>
      </c>
      <c r="G1750" s="4">
        <v>44460.96377023148</v>
      </c>
      <c r="H1750" s="8">
        <v>44460.0</v>
      </c>
    </row>
    <row r="1751">
      <c r="A1751" s="2">
        <v>0.35</v>
      </c>
      <c r="B1751" s="2">
        <v>233.4</v>
      </c>
      <c r="C1751" s="2">
        <v>24.3</v>
      </c>
      <c r="D1751" s="2">
        <v>2.74</v>
      </c>
      <c r="E1751" s="2">
        <v>0.3</v>
      </c>
      <c r="F1751" s="2">
        <v>49.9</v>
      </c>
      <c r="G1751" s="4">
        <v>44460.96387085648</v>
      </c>
      <c r="H1751" s="8">
        <v>44460.0</v>
      </c>
    </row>
    <row r="1752">
      <c r="A1752" s="2">
        <v>0.37</v>
      </c>
      <c r="B1752" s="2">
        <v>233.4</v>
      </c>
      <c r="C1752" s="2">
        <v>30.8</v>
      </c>
      <c r="D1752" s="2">
        <v>2.74</v>
      </c>
      <c r="E1752" s="2">
        <v>0.35</v>
      </c>
      <c r="F1752" s="2">
        <v>49.9</v>
      </c>
      <c r="G1752" s="4">
        <v>44460.96398231482</v>
      </c>
      <c r="H1752" s="8">
        <v>44460.0</v>
      </c>
    </row>
    <row r="1753">
      <c r="A1753" s="2">
        <v>0.33</v>
      </c>
      <c r="B1753" s="2">
        <v>233.4</v>
      </c>
      <c r="C1753" s="2">
        <v>23.0</v>
      </c>
      <c r="D1753" s="2">
        <v>2.74</v>
      </c>
      <c r="E1753" s="2">
        <v>0.3</v>
      </c>
      <c r="F1753" s="2">
        <v>49.9</v>
      </c>
      <c r="G1753" s="4">
        <v>44460.96408348379</v>
      </c>
      <c r="H1753" s="8">
        <v>44460.0</v>
      </c>
    </row>
    <row r="1754">
      <c r="A1754" s="2">
        <v>0.36</v>
      </c>
      <c r="B1754" s="2">
        <v>233.4</v>
      </c>
      <c r="C1754" s="2">
        <v>28.1</v>
      </c>
      <c r="D1754" s="2">
        <v>2.74</v>
      </c>
      <c r="E1754" s="2">
        <v>0.33</v>
      </c>
      <c r="F1754" s="2">
        <v>50.0</v>
      </c>
      <c r="G1754" s="4">
        <v>44460.96418380787</v>
      </c>
      <c r="H1754" s="8">
        <v>44460.0</v>
      </c>
    </row>
    <row r="1755">
      <c r="A1755" s="2">
        <v>0.35</v>
      </c>
      <c r="B1755" s="2">
        <v>233.3</v>
      </c>
      <c r="C1755" s="2">
        <v>25.9</v>
      </c>
      <c r="D1755" s="2">
        <v>2.74</v>
      </c>
      <c r="E1755" s="2">
        <v>0.31</v>
      </c>
      <c r="F1755" s="2">
        <v>50.0</v>
      </c>
      <c r="G1755" s="4">
        <v>44460.96428143518</v>
      </c>
      <c r="H1755" s="8">
        <v>44460.0</v>
      </c>
    </row>
    <row r="1756">
      <c r="A1756" s="2">
        <v>0.34</v>
      </c>
      <c r="B1756" s="2">
        <v>233.3</v>
      </c>
      <c r="C1756" s="2">
        <v>25.6</v>
      </c>
      <c r="D1756" s="2">
        <v>2.74</v>
      </c>
      <c r="E1756" s="2">
        <v>0.32</v>
      </c>
      <c r="F1756" s="2">
        <v>49.9</v>
      </c>
      <c r="G1756" s="4">
        <v>44460.96438024305</v>
      </c>
      <c r="H1756" s="8">
        <v>44460.0</v>
      </c>
    </row>
    <row r="1757">
      <c r="A1757" s="2">
        <v>0.36</v>
      </c>
      <c r="B1757" s="2">
        <v>233.4</v>
      </c>
      <c r="C1757" s="2">
        <v>29.4</v>
      </c>
      <c r="D1757" s="2">
        <v>2.74</v>
      </c>
      <c r="E1757" s="2">
        <v>0.35</v>
      </c>
      <c r="F1757" s="2">
        <v>50.0</v>
      </c>
      <c r="G1757" s="4">
        <v>44460.96447761574</v>
      </c>
      <c r="H1757" s="8">
        <v>44460.0</v>
      </c>
    </row>
    <row r="1758">
      <c r="A1758" s="2">
        <v>0.34</v>
      </c>
      <c r="B1758" s="2">
        <v>233.4</v>
      </c>
      <c r="C1758" s="2">
        <v>22.7</v>
      </c>
      <c r="D1758" s="2">
        <v>2.74</v>
      </c>
      <c r="E1758" s="2">
        <v>0.28</v>
      </c>
      <c r="F1758" s="2">
        <v>50.0</v>
      </c>
      <c r="G1758" s="4">
        <v>44460.964580196756</v>
      </c>
      <c r="H1758" s="8">
        <v>44460.0</v>
      </c>
    </row>
    <row r="1759">
      <c r="A1759" s="2">
        <v>0.34</v>
      </c>
      <c r="B1759" s="2">
        <v>233.5</v>
      </c>
      <c r="C1759" s="2">
        <v>25.5</v>
      </c>
      <c r="D1759" s="2">
        <v>2.74</v>
      </c>
      <c r="E1759" s="2">
        <v>0.32</v>
      </c>
      <c r="F1759" s="2">
        <v>50.0</v>
      </c>
      <c r="G1759" s="4">
        <v>44460.96468521991</v>
      </c>
      <c r="H1759" s="8">
        <v>44460.0</v>
      </c>
    </row>
    <row r="1760">
      <c r="A1760" s="2">
        <v>0.37</v>
      </c>
      <c r="B1760" s="2">
        <v>233.6</v>
      </c>
      <c r="C1760" s="2">
        <v>28.8</v>
      </c>
      <c r="D1760" s="2">
        <v>2.74</v>
      </c>
      <c r="E1760" s="2">
        <v>0.34</v>
      </c>
      <c r="F1760" s="2">
        <v>50.0</v>
      </c>
      <c r="G1760" s="4">
        <v>44460.96478789352</v>
      </c>
      <c r="H1760" s="8">
        <v>44460.0</v>
      </c>
    </row>
    <row r="1761">
      <c r="A1761" s="2">
        <v>0.37</v>
      </c>
      <c r="B1761" s="2">
        <v>233.6</v>
      </c>
      <c r="C1761" s="2">
        <v>31.8</v>
      </c>
      <c r="D1761" s="2">
        <v>2.74</v>
      </c>
      <c r="E1761" s="2">
        <v>0.37</v>
      </c>
      <c r="F1761" s="2">
        <v>50.0</v>
      </c>
      <c r="G1761" s="4">
        <v>44460.964895625</v>
      </c>
      <c r="H1761" s="8">
        <v>44460.0</v>
      </c>
    </row>
    <row r="1762">
      <c r="A1762" s="2">
        <v>0.37</v>
      </c>
      <c r="B1762" s="2">
        <v>233.5</v>
      </c>
      <c r="C1762" s="2">
        <v>30.2</v>
      </c>
      <c r="D1762" s="2">
        <v>2.74</v>
      </c>
      <c r="E1762" s="2">
        <v>0.35</v>
      </c>
      <c r="F1762" s="2">
        <v>50.0</v>
      </c>
      <c r="G1762" s="4">
        <v>44460.96500128473</v>
      </c>
      <c r="H1762" s="8">
        <v>44460.0</v>
      </c>
    </row>
    <row r="1763">
      <c r="A1763" s="2">
        <v>0.35</v>
      </c>
      <c r="B1763" s="2">
        <v>233.5</v>
      </c>
      <c r="C1763" s="2">
        <v>28.3</v>
      </c>
      <c r="D1763" s="2">
        <v>2.74</v>
      </c>
      <c r="E1763" s="2">
        <v>0.34</v>
      </c>
      <c r="F1763" s="2">
        <v>50.0</v>
      </c>
      <c r="G1763" s="4">
        <v>44460.96510690972</v>
      </c>
      <c r="H1763" s="8">
        <v>44460.0</v>
      </c>
    </row>
    <row r="1764">
      <c r="A1764" s="2">
        <v>0.36</v>
      </c>
      <c r="B1764" s="2">
        <v>233.6</v>
      </c>
      <c r="C1764" s="2">
        <v>27.8</v>
      </c>
      <c r="D1764" s="2">
        <v>2.74</v>
      </c>
      <c r="E1764" s="2">
        <v>0.33</v>
      </c>
      <c r="F1764" s="2">
        <v>50.0</v>
      </c>
      <c r="G1764" s="4">
        <v>44460.96520773148</v>
      </c>
      <c r="H1764" s="8">
        <v>44460.0</v>
      </c>
    </row>
    <row r="1765">
      <c r="A1765" s="2">
        <v>0.32</v>
      </c>
      <c r="B1765" s="2">
        <v>233.6</v>
      </c>
      <c r="C1765" s="2">
        <v>19.7</v>
      </c>
      <c r="D1765" s="2">
        <v>2.74</v>
      </c>
      <c r="E1765" s="2">
        <v>0.26</v>
      </c>
      <c r="F1765" s="2">
        <v>50.0</v>
      </c>
      <c r="G1765" s="4">
        <v>44460.96531958334</v>
      </c>
      <c r="H1765" s="8">
        <v>44460.0</v>
      </c>
    </row>
    <row r="1766">
      <c r="A1766" s="2">
        <v>0.37</v>
      </c>
      <c r="B1766" s="2">
        <v>233.4</v>
      </c>
      <c r="C1766" s="2">
        <v>31.0</v>
      </c>
      <c r="D1766" s="2">
        <v>2.74</v>
      </c>
      <c r="E1766" s="2">
        <v>0.36</v>
      </c>
      <c r="F1766" s="2">
        <v>49.9</v>
      </c>
      <c r="G1766" s="4">
        <v>44460.96541898148</v>
      </c>
      <c r="H1766" s="8">
        <v>44460.0</v>
      </c>
    </row>
    <row r="1767">
      <c r="A1767" s="2">
        <v>0.37</v>
      </c>
      <c r="B1767" s="2">
        <v>233.3</v>
      </c>
      <c r="C1767" s="2">
        <v>29.5</v>
      </c>
      <c r="D1767" s="2">
        <v>2.74</v>
      </c>
      <c r="E1767" s="2">
        <v>0.34</v>
      </c>
      <c r="F1767" s="2">
        <v>49.9</v>
      </c>
      <c r="G1767" s="4">
        <v>44460.96555655093</v>
      </c>
      <c r="H1767" s="8">
        <v>44460.0</v>
      </c>
    </row>
    <row r="1768">
      <c r="A1768" s="2">
        <v>0.32</v>
      </c>
      <c r="B1768" s="2">
        <v>233.3</v>
      </c>
      <c r="C1768" s="2">
        <v>19.0</v>
      </c>
      <c r="D1768" s="2">
        <v>2.74</v>
      </c>
      <c r="E1768" s="2">
        <v>0.25</v>
      </c>
      <c r="F1768" s="2">
        <v>50.0</v>
      </c>
      <c r="G1768" s="4">
        <v>44460.96566163194</v>
      </c>
      <c r="H1768" s="8">
        <v>44460.0</v>
      </c>
    </row>
    <row r="1769">
      <c r="A1769" s="2">
        <v>0.35</v>
      </c>
      <c r="B1769" s="2">
        <v>233.5</v>
      </c>
      <c r="C1769" s="2">
        <v>28.9</v>
      </c>
      <c r="D1769" s="2">
        <v>2.74</v>
      </c>
      <c r="E1769" s="2">
        <v>0.35</v>
      </c>
      <c r="F1769" s="2">
        <v>49.9</v>
      </c>
      <c r="G1769" s="4">
        <v>44460.965766724534</v>
      </c>
      <c r="H1769" s="8">
        <v>44460.0</v>
      </c>
    </row>
    <row r="1770">
      <c r="A1770" s="2">
        <v>0.35</v>
      </c>
      <c r="B1770" s="2">
        <v>233.6</v>
      </c>
      <c r="C1770" s="2">
        <v>23.9</v>
      </c>
      <c r="D1770" s="2">
        <v>2.74</v>
      </c>
      <c r="E1770" s="2">
        <v>0.29</v>
      </c>
      <c r="F1770" s="2">
        <v>50.0</v>
      </c>
      <c r="G1770" s="4">
        <v>44460.96595347222</v>
      </c>
      <c r="H1770" s="8">
        <v>44460.0</v>
      </c>
    </row>
    <row r="1771">
      <c r="A1771" s="2">
        <v>0.33</v>
      </c>
      <c r="B1771" s="2">
        <v>233.7</v>
      </c>
      <c r="C1771" s="2">
        <v>21.9</v>
      </c>
      <c r="D1771" s="2">
        <v>2.74</v>
      </c>
      <c r="E1771" s="2">
        <v>0.29</v>
      </c>
      <c r="F1771" s="2">
        <v>50.0</v>
      </c>
      <c r="G1771" s="4">
        <v>44460.96605916666</v>
      </c>
      <c r="H1771" s="8">
        <v>44460.0</v>
      </c>
    </row>
    <row r="1772">
      <c r="A1772" s="2">
        <v>0.37</v>
      </c>
      <c r="B1772" s="2">
        <v>233.7</v>
      </c>
      <c r="C1772" s="2">
        <v>29.6</v>
      </c>
      <c r="D1772" s="2">
        <v>2.74</v>
      </c>
      <c r="E1772" s="2">
        <v>0.34</v>
      </c>
      <c r="F1772" s="2">
        <v>50.0</v>
      </c>
      <c r="G1772" s="4">
        <v>44460.96615961805</v>
      </c>
      <c r="H1772" s="8">
        <v>44460.0</v>
      </c>
    </row>
    <row r="1773">
      <c r="A1773" s="2">
        <v>0.32</v>
      </c>
      <c r="B1773" s="2">
        <v>233.7</v>
      </c>
      <c r="C1773" s="2">
        <v>18.2</v>
      </c>
      <c r="D1773" s="2">
        <v>2.74</v>
      </c>
      <c r="E1773" s="2">
        <v>0.24</v>
      </c>
      <c r="F1773" s="2">
        <v>50.0</v>
      </c>
      <c r="G1773" s="4">
        <v>44460.96626267361</v>
      </c>
      <c r="H1773" s="8">
        <v>44460.0</v>
      </c>
    </row>
    <row r="1774">
      <c r="A1774" s="2">
        <v>0.35</v>
      </c>
      <c r="B1774" s="2">
        <v>233.6</v>
      </c>
      <c r="C1774" s="2">
        <v>26.5</v>
      </c>
      <c r="D1774" s="2">
        <v>2.74</v>
      </c>
      <c r="E1774" s="2">
        <v>0.33</v>
      </c>
      <c r="F1774" s="2">
        <v>50.0</v>
      </c>
      <c r="G1774" s="4">
        <v>44460.96636309028</v>
      </c>
      <c r="H1774" s="8">
        <v>44460.0</v>
      </c>
    </row>
    <row r="1775">
      <c r="A1775" s="2">
        <v>0.35</v>
      </c>
      <c r="B1775" s="2">
        <v>233.6</v>
      </c>
      <c r="C1775" s="2">
        <v>27.6</v>
      </c>
      <c r="D1775" s="2">
        <v>2.74</v>
      </c>
      <c r="E1775" s="2">
        <v>0.34</v>
      </c>
      <c r="F1775" s="2">
        <v>50.0</v>
      </c>
      <c r="G1775" s="4">
        <v>44460.96646282407</v>
      </c>
      <c r="H1775" s="8">
        <v>44460.0</v>
      </c>
    </row>
    <row r="1776">
      <c r="A1776" s="2">
        <v>0.36</v>
      </c>
      <c r="B1776" s="2">
        <v>233.6</v>
      </c>
      <c r="C1776" s="2">
        <v>26.1</v>
      </c>
      <c r="D1776" s="2">
        <v>2.74</v>
      </c>
      <c r="E1776" s="2">
        <v>0.31</v>
      </c>
      <c r="F1776" s="2">
        <v>50.0</v>
      </c>
      <c r="G1776" s="4">
        <v>44460.96655939815</v>
      </c>
      <c r="H1776" s="8">
        <v>44460.0</v>
      </c>
    </row>
    <row r="1777">
      <c r="A1777" s="2">
        <v>0.35</v>
      </c>
      <c r="B1777" s="2">
        <v>233.7</v>
      </c>
      <c r="C1777" s="2">
        <v>24.3</v>
      </c>
      <c r="D1777" s="2">
        <v>2.74</v>
      </c>
      <c r="E1777" s="2">
        <v>0.3</v>
      </c>
      <c r="F1777" s="2">
        <v>50.0</v>
      </c>
      <c r="G1777" s="4">
        <v>44460.966656226854</v>
      </c>
      <c r="H1777" s="8">
        <v>44460.0</v>
      </c>
    </row>
    <row r="1778">
      <c r="A1778" s="2">
        <v>0.33</v>
      </c>
      <c r="B1778" s="2">
        <v>233.8</v>
      </c>
      <c r="C1778" s="2">
        <v>22.1</v>
      </c>
      <c r="D1778" s="2">
        <v>2.74</v>
      </c>
      <c r="E1778" s="2">
        <v>0.29</v>
      </c>
      <c r="F1778" s="2">
        <v>50.0</v>
      </c>
      <c r="G1778" s="4">
        <v>44460.96675266203</v>
      </c>
      <c r="H1778" s="8">
        <v>44460.0</v>
      </c>
    </row>
    <row r="1779">
      <c r="A1779" s="2">
        <v>0.36</v>
      </c>
      <c r="B1779" s="2">
        <v>233.6</v>
      </c>
      <c r="C1779" s="2">
        <v>29.2</v>
      </c>
      <c r="D1779" s="2">
        <v>2.74</v>
      </c>
      <c r="E1779" s="2">
        <v>0.34</v>
      </c>
      <c r="F1779" s="2">
        <v>50.0</v>
      </c>
      <c r="G1779" s="4">
        <v>44460.966854212966</v>
      </c>
      <c r="H1779" s="8">
        <v>44460.0</v>
      </c>
    </row>
    <row r="1780">
      <c r="A1780" s="2">
        <v>0.36</v>
      </c>
      <c r="B1780" s="2">
        <v>233.6</v>
      </c>
      <c r="C1780" s="2">
        <v>29.4</v>
      </c>
      <c r="D1780" s="2">
        <v>2.74</v>
      </c>
      <c r="E1780" s="2">
        <v>0.35</v>
      </c>
      <c r="F1780" s="2">
        <v>50.0</v>
      </c>
      <c r="G1780" s="4">
        <v>44460.9669496412</v>
      </c>
      <c r="H1780" s="8">
        <v>44460.0</v>
      </c>
    </row>
    <row r="1781">
      <c r="A1781" s="2">
        <v>0.33</v>
      </c>
      <c r="B1781" s="2">
        <v>233.5</v>
      </c>
      <c r="C1781" s="2">
        <v>19.9</v>
      </c>
      <c r="D1781" s="2">
        <v>2.74</v>
      </c>
      <c r="E1781" s="2">
        <v>0.26</v>
      </c>
      <c r="F1781" s="2">
        <v>50.0</v>
      </c>
      <c r="G1781" s="4">
        <v>44460.96705166667</v>
      </c>
      <c r="H1781" s="8">
        <v>44460.0</v>
      </c>
    </row>
    <row r="1782">
      <c r="A1782" s="2">
        <v>0.33</v>
      </c>
      <c r="B1782" s="2">
        <v>233.5</v>
      </c>
      <c r="C1782" s="2">
        <v>23.4</v>
      </c>
      <c r="D1782" s="2">
        <v>2.74</v>
      </c>
      <c r="E1782" s="2">
        <v>0.3</v>
      </c>
      <c r="F1782" s="2">
        <v>50.0</v>
      </c>
      <c r="G1782" s="4">
        <v>44460.96715144676</v>
      </c>
      <c r="H1782" s="8">
        <v>44460.0</v>
      </c>
    </row>
    <row r="1783">
      <c r="A1783" s="2">
        <v>0.36</v>
      </c>
      <c r="B1783" s="2">
        <v>233.5</v>
      </c>
      <c r="C1783" s="2">
        <v>26.7</v>
      </c>
      <c r="D1783" s="2">
        <v>2.74</v>
      </c>
      <c r="E1783" s="2">
        <v>0.32</v>
      </c>
      <c r="F1783" s="2">
        <v>50.0</v>
      </c>
      <c r="G1783" s="4">
        <v>44460.96725284722</v>
      </c>
      <c r="H1783" s="8">
        <v>44460.0</v>
      </c>
    </row>
    <row r="1784">
      <c r="A1784" s="2">
        <v>0.32</v>
      </c>
      <c r="B1784" s="2">
        <v>233.6</v>
      </c>
      <c r="C1784" s="2">
        <v>17.7</v>
      </c>
      <c r="D1784" s="2">
        <v>2.74</v>
      </c>
      <c r="E1784" s="2">
        <v>0.24</v>
      </c>
      <c r="F1784" s="2">
        <v>50.0</v>
      </c>
      <c r="G1784" s="4">
        <v>44460.967357939815</v>
      </c>
      <c r="H1784" s="8">
        <v>44460.0</v>
      </c>
    </row>
    <row r="1785">
      <c r="A1785" s="2">
        <v>0.35</v>
      </c>
      <c r="B1785" s="2">
        <v>233.6</v>
      </c>
      <c r="C1785" s="2">
        <v>27.6</v>
      </c>
      <c r="D1785" s="2">
        <v>2.74</v>
      </c>
      <c r="E1785" s="2">
        <v>0.34</v>
      </c>
      <c r="F1785" s="2">
        <v>50.0</v>
      </c>
      <c r="G1785" s="4">
        <v>44460.967461747685</v>
      </c>
      <c r="H1785" s="8">
        <v>44460.0</v>
      </c>
    </row>
    <row r="1786">
      <c r="A1786" s="2">
        <v>0.35</v>
      </c>
      <c r="B1786" s="2">
        <v>233.6</v>
      </c>
      <c r="C1786" s="2">
        <v>27.4</v>
      </c>
      <c r="D1786" s="2">
        <v>2.74</v>
      </c>
      <c r="E1786" s="2">
        <v>0.34</v>
      </c>
      <c r="F1786" s="2">
        <v>49.9</v>
      </c>
      <c r="G1786" s="4">
        <v>44460.96755850695</v>
      </c>
      <c r="H1786" s="8">
        <v>44460.0</v>
      </c>
    </row>
    <row r="1787">
      <c r="A1787" s="2">
        <v>0.35</v>
      </c>
      <c r="B1787" s="2">
        <v>233.5</v>
      </c>
      <c r="C1787" s="2">
        <v>24.9</v>
      </c>
      <c r="D1787" s="2">
        <v>2.74</v>
      </c>
      <c r="E1787" s="2">
        <v>0.3</v>
      </c>
      <c r="F1787" s="2">
        <v>49.9</v>
      </c>
      <c r="G1787" s="4">
        <v>44460.96765701388</v>
      </c>
      <c r="H1787" s="8">
        <v>44460.0</v>
      </c>
    </row>
    <row r="1788">
      <c r="A1788" s="2">
        <v>0.32</v>
      </c>
      <c r="B1788" s="2">
        <v>233.4</v>
      </c>
      <c r="C1788" s="2">
        <v>17.9</v>
      </c>
      <c r="D1788" s="2">
        <v>2.74</v>
      </c>
      <c r="E1788" s="2">
        <v>0.24</v>
      </c>
      <c r="F1788" s="2">
        <v>49.9</v>
      </c>
      <c r="G1788" s="4">
        <v>44460.967755509264</v>
      </c>
      <c r="H1788" s="8">
        <v>44460.0</v>
      </c>
    </row>
    <row r="1789">
      <c r="A1789" s="2">
        <v>0.31</v>
      </c>
      <c r="B1789" s="2">
        <v>233.4</v>
      </c>
      <c r="C1789" s="2">
        <v>17.2</v>
      </c>
      <c r="D1789" s="2">
        <v>2.74</v>
      </c>
      <c r="E1789" s="2">
        <v>0.23</v>
      </c>
      <c r="F1789" s="2">
        <v>49.9</v>
      </c>
      <c r="G1789" s="4">
        <v>44460.967853622686</v>
      </c>
      <c r="H1789" s="8">
        <v>44460.0</v>
      </c>
    </row>
    <row r="1790">
      <c r="A1790" s="2">
        <v>0.32</v>
      </c>
      <c r="B1790" s="2">
        <v>233.5</v>
      </c>
      <c r="C1790" s="2">
        <v>19.8</v>
      </c>
      <c r="D1790" s="2">
        <v>2.74</v>
      </c>
      <c r="E1790" s="2">
        <v>0.26</v>
      </c>
      <c r="F1790" s="2">
        <v>49.9</v>
      </c>
      <c r="G1790" s="4">
        <v>44460.96798451389</v>
      </c>
      <c r="H1790" s="8">
        <v>44460.0</v>
      </c>
    </row>
    <row r="1791">
      <c r="A1791" s="2">
        <v>0.36</v>
      </c>
      <c r="B1791" s="2">
        <v>233.4</v>
      </c>
      <c r="C1791" s="2">
        <v>28.3</v>
      </c>
      <c r="D1791" s="2">
        <v>2.74</v>
      </c>
      <c r="E1791" s="2">
        <v>0.34</v>
      </c>
      <c r="F1791" s="2">
        <v>50.0</v>
      </c>
      <c r="G1791" s="4">
        <v>44460.968083113425</v>
      </c>
      <c r="H1791" s="8">
        <v>44460.0</v>
      </c>
    </row>
    <row r="1792">
      <c r="A1792" s="2">
        <v>0.34</v>
      </c>
      <c r="B1792" s="2">
        <v>233.5</v>
      </c>
      <c r="C1792" s="2">
        <v>21.3</v>
      </c>
      <c r="D1792" s="2">
        <v>2.74</v>
      </c>
      <c r="E1792" s="2">
        <v>0.27</v>
      </c>
      <c r="F1792" s="2">
        <v>50.0</v>
      </c>
      <c r="G1792" s="4">
        <v>44460.96818736111</v>
      </c>
      <c r="H1792" s="8">
        <v>44460.0</v>
      </c>
    </row>
    <row r="1793">
      <c r="A1793" s="2">
        <v>0.32</v>
      </c>
      <c r="B1793" s="2">
        <v>233.5</v>
      </c>
      <c r="C1793" s="2">
        <v>20.4</v>
      </c>
      <c r="D1793" s="2">
        <v>2.74</v>
      </c>
      <c r="E1793" s="2">
        <v>0.27</v>
      </c>
      <c r="F1793" s="2">
        <v>50.0</v>
      </c>
      <c r="G1793" s="4">
        <v>44460.9682921875</v>
      </c>
      <c r="H1793" s="8">
        <v>44460.0</v>
      </c>
    </row>
    <row r="1794">
      <c r="A1794" s="2">
        <v>0.36</v>
      </c>
      <c r="B1794" s="2">
        <v>233.5</v>
      </c>
      <c r="C1794" s="2">
        <v>28.7</v>
      </c>
      <c r="D1794" s="2">
        <v>2.74</v>
      </c>
      <c r="E1794" s="2">
        <v>0.34</v>
      </c>
      <c r="F1794" s="2">
        <v>50.0</v>
      </c>
      <c r="G1794" s="4">
        <v>44460.9683984375</v>
      </c>
      <c r="H1794" s="8">
        <v>44460.0</v>
      </c>
    </row>
    <row r="1795">
      <c r="A1795" s="2">
        <v>0.32</v>
      </c>
      <c r="B1795" s="2">
        <v>233.6</v>
      </c>
      <c r="C1795" s="2">
        <v>16.6</v>
      </c>
      <c r="D1795" s="2">
        <v>2.74</v>
      </c>
      <c r="E1795" s="2">
        <v>0.22</v>
      </c>
      <c r="F1795" s="2">
        <v>50.0</v>
      </c>
      <c r="G1795" s="4">
        <v>44460.9685015162</v>
      </c>
      <c r="H1795" s="8">
        <v>44460.0</v>
      </c>
    </row>
    <row r="1796">
      <c r="A1796" s="2">
        <v>0.34</v>
      </c>
      <c r="B1796" s="2">
        <v>233.5</v>
      </c>
      <c r="C1796" s="2">
        <v>24.6</v>
      </c>
      <c r="D1796" s="2">
        <v>2.74</v>
      </c>
      <c r="E1796" s="2">
        <v>0.31</v>
      </c>
      <c r="F1796" s="2">
        <v>50.0</v>
      </c>
      <c r="G1796" s="4">
        <v>44460.968605393515</v>
      </c>
      <c r="H1796" s="8">
        <v>44460.0</v>
      </c>
    </row>
    <row r="1797">
      <c r="A1797" s="2">
        <v>0.35</v>
      </c>
      <c r="B1797" s="2">
        <v>233.6</v>
      </c>
      <c r="C1797" s="2">
        <v>25.7</v>
      </c>
      <c r="D1797" s="2">
        <v>2.74</v>
      </c>
      <c r="E1797" s="2">
        <v>0.31</v>
      </c>
      <c r="F1797" s="2">
        <v>50.0</v>
      </c>
      <c r="G1797" s="4">
        <v>44460.96870907408</v>
      </c>
      <c r="H1797" s="8">
        <v>44460.0</v>
      </c>
    </row>
    <row r="1798">
      <c r="A1798" s="2">
        <v>0.31</v>
      </c>
      <c r="B1798" s="2">
        <v>233.5</v>
      </c>
      <c r="C1798" s="2">
        <v>15.4</v>
      </c>
      <c r="D1798" s="2">
        <v>2.74</v>
      </c>
      <c r="E1798" s="2">
        <v>0.21</v>
      </c>
      <c r="F1798" s="2">
        <v>50.0</v>
      </c>
      <c r="G1798" s="4">
        <v>44460.96881407408</v>
      </c>
      <c r="H1798" s="8">
        <v>44460.0</v>
      </c>
    </row>
    <row r="1799">
      <c r="A1799" s="2">
        <v>0.35</v>
      </c>
      <c r="B1799" s="2">
        <v>233.6</v>
      </c>
      <c r="C1799" s="2">
        <v>26.6</v>
      </c>
      <c r="D1799" s="2">
        <v>2.74</v>
      </c>
      <c r="E1799" s="2">
        <v>0.33</v>
      </c>
      <c r="F1799" s="2">
        <v>50.0</v>
      </c>
      <c r="G1799" s="4">
        <v>44460.96891001158</v>
      </c>
      <c r="H1799" s="8">
        <v>44460.0</v>
      </c>
    </row>
    <row r="1800">
      <c r="A1800" s="2">
        <v>0.34</v>
      </c>
      <c r="B1800" s="2">
        <v>233.5</v>
      </c>
      <c r="C1800" s="2">
        <v>26.1</v>
      </c>
      <c r="D1800" s="2">
        <v>2.74</v>
      </c>
      <c r="E1800" s="2">
        <v>0.32</v>
      </c>
      <c r="F1800" s="2">
        <v>49.9</v>
      </c>
      <c r="G1800" s="4">
        <v>44460.96901188657</v>
      </c>
      <c r="H1800" s="8">
        <v>44460.0</v>
      </c>
    </row>
    <row r="1801">
      <c r="A1801" s="2">
        <v>0.33</v>
      </c>
      <c r="B1801" s="2">
        <v>233.3</v>
      </c>
      <c r="C1801" s="2">
        <v>19.3</v>
      </c>
      <c r="D1801" s="2">
        <v>2.74</v>
      </c>
      <c r="E1801" s="2">
        <v>0.25</v>
      </c>
      <c r="F1801" s="2">
        <v>49.9</v>
      </c>
      <c r="G1801" s="4">
        <v>44460.96911762732</v>
      </c>
      <c r="H1801" s="8">
        <v>44460.0</v>
      </c>
    </row>
    <row r="1802">
      <c r="A1802" s="2">
        <v>0.35</v>
      </c>
      <c r="B1802" s="2">
        <v>233.5</v>
      </c>
      <c r="C1802" s="2">
        <v>26.0</v>
      </c>
      <c r="D1802" s="2">
        <v>2.74</v>
      </c>
      <c r="E1802" s="2">
        <v>0.31</v>
      </c>
      <c r="F1802" s="2">
        <v>50.0</v>
      </c>
      <c r="G1802" s="4">
        <v>44460.96922230324</v>
      </c>
      <c r="H1802" s="8">
        <v>44460.0</v>
      </c>
    </row>
    <row r="1803">
      <c r="A1803" s="2">
        <v>0.35</v>
      </c>
      <c r="B1803" s="2">
        <v>233.6</v>
      </c>
      <c r="C1803" s="2">
        <v>24.6</v>
      </c>
      <c r="D1803" s="2">
        <v>2.74</v>
      </c>
      <c r="E1803" s="2">
        <v>0.3</v>
      </c>
      <c r="F1803" s="2">
        <v>50.0</v>
      </c>
      <c r="G1803" s="4">
        <v>44460.96932480324</v>
      </c>
      <c r="H1803" s="8">
        <v>44460.0</v>
      </c>
    </row>
    <row r="1804">
      <c r="A1804" s="2">
        <v>0.31</v>
      </c>
      <c r="B1804" s="2">
        <v>233.5</v>
      </c>
      <c r="C1804" s="2">
        <v>17.0</v>
      </c>
      <c r="D1804" s="2">
        <v>2.74</v>
      </c>
      <c r="E1804" s="2">
        <v>0.23</v>
      </c>
      <c r="F1804" s="2">
        <v>50.0</v>
      </c>
      <c r="G1804" s="4">
        <v>44460.9694303588</v>
      </c>
      <c r="H1804" s="8">
        <v>44460.0</v>
      </c>
    </row>
    <row r="1805">
      <c r="A1805" s="2">
        <v>0.34</v>
      </c>
      <c r="B1805" s="2">
        <v>233.7</v>
      </c>
      <c r="C1805" s="2">
        <v>21.7</v>
      </c>
      <c r="D1805" s="2">
        <v>2.74</v>
      </c>
      <c r="E1805" s="2">
        <v>0.27</v>
      </c>
      <c r="F1805" s="2">
        <v>50.0</v>
      </c>
      <c r="G1805" s="4">
        <v>44460.96953141203</v>
      </c>
      <c r="H1805" s="8">
        <v>44460.0</v>
      </c>
    </row>
    <row r="1806">
      <c r="A1806" s="2">
        <v>0.33</v>
      </c>
      <c r="B1806" s="2">
        <v>233.8</v>
      </c>
      <c r="C1806" s="2">
        <v>20.0</v>
      </c>
      <c r="D1806" s="2">
        <v>2.74</v>
      </c>
      <c r="E1806" s="2">
        <v>0.26</v>
      </c>
      <c r="F1806" s="2">
        <v>50.0</v>
      </c>
      <c r="G1806" s="4">
        <v>44460.969628506944</v>
      </c>
      <c r="H1806" s="8">
        <v>44460.0</v>
      </c>
    </row>
    <row r="1807">
      <c r="A1807" s="2">
        <v>0.32</v>
      </c>
      <c r="B1807" s="2">
        <v>233.6</v>
      </c>
      <c r="C1807" s="2">
        <v>20.4</v>
      </c>
      <c r="D1807" s="2">
        <v>2.74</v>
      </c>
      <c r="E1807" s="2">
        <v>0.27</v>
      </c>
      <c r="F1807" s="2">
        <v>50.0</v>
      </c>
      <c r="G1807" s="4">
        <v>44460.96972490741</v>
      </c>
      <c r="H1807" s="8">
        <v>44460.0</v>
      </c>
    </row>
    <row r="1808">
      <c r="A1808" s="2">
        <v>0.32</v>
      </c>
      <c r="B1808" s="2">
        <v>233.7</v>
      </c>
      <c r="C1808" s="2">
        <v>20.5</v>
      </c>
      <c r="D1808" s="2">
        <v>2.74</v>
      </c>
      <c r="E1808" s="2">
        <v>0.27</v>
      </c>
      <c r="F1808" s="2">
        <v>49.9</v>
      </c>
      <c r="G1808" s="4">
        <v>44460.969820370374</v>
      </c>
      <c r="H1808" s="8">
        <v>44460.0</v>
      </c>
    </row>
    <row r="1809">
      <c r="A1809" s="2">
        <v>0.35</v>
      </c>
      <c r="B1809" s="2">
        <v>233.6</v>
      </c>
      <c r="C1809" s="2">
        <v>24.5</v>
      </c>
      <c r="D1809" s="2">
        <v>2.74</v>
      </c>
      <c r="E1809" s="2">
        <v>0.3</v>
      </c>
      <c r="F1809" s="2">
        <v>49.9</v>
      </c>
      <c r="G1809" s="4">
        <v>44460.96991596065</v>
      </c>
      <c r="H1809" s="8">
        <v>44460.0</v>
      </c>
    </row>
    <row r="1810">
      <c r="A1810" s="2">
        <v>0.34</v>
      </c>
      <c r="B1810" s="2">
        <v>233.7</v>
      </c>
      <c r="C1810" s="2">
        <v>21.9</v>
      </c>
      <c r="D1810" s="2">
        <v>2.74</v>
      </c>
      <c r="E1810" s="2">
        <v>0.28</v>
      </c>
      <c r="F1810" s="2">
        <v>50.0</v>
      </c>
      <c r="G1810" s="4">
        <v>44460.97001939815</v>
      </c>
      <c r="H1810" s="8">
        <v>44460.0</v>
      </c>
    </row>
    <row r="1811">
      <c r="A1811" s="2">
        <v>0.31</v>
      </c>
      <c r="B1811" s="2">
        <v>233.6</v>
      </c>
      <c r="C1811" s="2">
        <v>18.4</v>
      </c>
      <c r="D1811" s="2">
        <v>2.74</v>
      </c>
      <c r="E1811" s="2">
        <v>0.25</v>
      </c>
      <c r="F1811" s="2">
        <v>50.0</v>
      </c>
      <c r="G1811" s="4">
        <v>44460.97011796296</v>
      </c>
      <c r="H1811" s="8">
        <v>44460.0</v>
      </c>
    </row>
    <row r="1812">
      <c r="A1812" s="2">
        <v>0.36</v>
      </c>
      <c r="B1812" s="2">
        <v>233.7</v>
      </c>
      <c r="C1812" s="2">
        <v>27.4</v>
      </c>
      <c r="D1812" s="2">
        <v>2.74</v>
      </c>
      <c r="E1812" s="2">
        <v>0.33</v>
      </c>
      <c r="F1812" s="2">
        <v>50.0</v>
      </c>
      <c r="G1812" s="4">
        <v>44460.97021800926</v>
      </c>
      <c r="H1812" s="8">
        <v>44460.0</v>
      </c>
    </row>
    <row r="1813">
      <c r="A1813" s="2">
        <v>0.32</v>
      </c>
      <c r="B1813" s="2">
        <v>233.6</v>
      </c>
      <c r="C1813" s="2">
        <v>16.3</v>
      </c>
      <c r="D1813" s="2">
        <v>2.74</v>
      </c>
      <c r="E1813" s="2">
        <v>0.22</v>
      </c>
      <c r="F1813" s="2">
        <v>50.0</v>
      </c>
      <c r="G1813" s="4">
        <v>44460.97031931713</v>
      </c>
      <c r="H1813" s="8">
        <v>44460.0</v>
      </c>
    </row>
    <row r="1814">
      <c r="A1814" s="2">
        <v>0.31</v>
      </c>
      <c r="B1814" s="2">
        <v>233.6</v>
      </c>
      <c r="C1814" s="2">
        <v>16.3</v>
      </c>
      <c r="D1814" s="2">
        <v>2.74</v>
      </c>
      <c r="E1814" s="2">
        <v>0.22</v>
      </c>
      <c r="F1814" s="2">
        <v>50.0</v>
      </c>
      <c r="G1814" s="4">
        <v>44460.97042138889</v>
      </c>
      <c r="H1814" s="8">
        <v>44460.0</v>
      </c>
    </row>
    <row r="1815">
      <c r="A1815" s="2">
        <v>0.35</v>
      </c>
      <c r="B1815" s="2">
        <v>233.6</v>
      </c>
      <c r="C1815" s="2">
        <v>26.3</v>
      </c>
      <c r="D1815" s="2">
        <v>2.74</v>
      </c>
      <c r="E1815" s="2">
        <v>0.32</v>
      </c>
      <c r="F1815" s="2">
        <v>50.0</v>
      </c>
      <c r="G1815" s="4">
        <v>44460.97052501157</v>
      </c>
      <c r="H1815" s="8">
        <v>44460.0</v>
      </c>
    </row>
    <row r="1816">
      <c r="A1816" s="2">
        <v>0.32</v>
      </c>
      <c r="B1816" s="2">
        <v>233.5</v>
      </c>
      <c r="C1816" s="2">
        <v>16.6</v>
      </c>
      <c r="D1816" s="2">
        <v>2.74</v>
      </c>
      <c r="E1816" s="2">
        <v>0.22</v>
      </c>
      <c r="F1816" s="2">
        <v>50.0</v>
      </c>
      <c r="G1816" s="4">
        <v>44460.97062525463</v>
      </c>
      <c r="H1816" s="8">
        <v>44460.0</v>
      </c>
    </row>
    <row r="1817">
      <c r="A1817" s="2">
        <v>0.34</v>
      </c>
      <c r="B1817" s="2">
        <v>233.5</v>
      </c>
      <c r="C1817" s="2">
        <v>25.1</v>
      </c>
      <c r="D1817" s="2">
        <v>2.74</v>
      </c>
      <c r="E1817" s="2">
        <v>0.31</v>
      </c>
      <c r="F1817" s="2">
        <v>50.0</v>
      </c>
      <c r="G1817" s="4">
        <v>44460.970721631944</v>
      </c>
      <c r="H1817" s="8">
        <v>44460.0</v>
      </c>
    </row>
    <row r="1818">
      <c r="A1818" s="2">
        <v>0.35</v>
      </c>
      <c r="B1818" s="2">
        <v>233.5</v>
      </c>
      <c r="C1818" s="2">
        <v>27.1</v>
      </c>
      <c r="D1818" s="2">
        <v>2.74</v>
      </c>
      <c r="E1818" s="2">
        <v>0.33</v>
      </c>
      <c r="F1818" s="2">
        <v>50.0</v>
      </c>
      <c r="G1818" s="4">
        <v>44460.97081825232</v>
      </c>
      <c r="H1818" s="8">
        <v>44460.0</v>
      </c>
    </row>
    <row r="1819">
      <c r="A1819" s="2">
        <v>0.32</v>
      </c>
      <c r="B1819" s="2">
        <v>233.5</v>
      </c>
      <c r="C1819" s="2">
        <v>16.2</v>
      </c>
      <c r="D1819" s="2">
        <v>2.74</v>
      </c>
      <c r="E1819" s="2">
        <v>0.22</v>
      </c>
      <c r="F1819" s="2">
        <v>50.0</v>
      </c>
      <c r="G1819" s="4">
        <v>44460.9709152662</v>
      </c>
      <c r="H1819" s="8">
        <v>44460.0</v>
      </c>
    </row>
    <row r="1820">
      <c r="A1820" s="2">
        <v>0.35</v>
      </c>
      <c r="B1820" s="2">
        <v>233.4</v>
      </c>
      <c r="C1820" s="2">
        <v>26.8</v>
      </c>
      <c r="D1820" s="2">
        <v>2.74</v>
      </c>
      <c r="E1820" s="2">
        <v>0.33</v>
      </c>
      <c r="F1820" s="2">
        <v>49.9</v>
      </c>
      <c r="G1820" s="4">
        <v>44460.971013449074</v>
      </c>
      <c r="H1820" s="8">
        <v>44460.0</v>
      </c>
    </row>
    <row r="1821">
      <c r="A1821" s="2">
        <v>0.35</v>
      </c>
      <c r="B1821" s="2">
        <v>233.6</v>
      </c>
      <c r="C1821" s="2">
        <v>26.3</v>
      </c>
      <c r="D1821" s="2">
        <v>2.74</v>
      </c>
      <c r="E1821" s="2">
        <v>0.32</v>
      </c>
      <c r="F1821" s="2">
        <v>49.9</v>
      </c>
      <c r="G1821" s="4">
        <v>44460.971111701394</v>
      </c>
      <c r="H1821" s="8">
        <v>44460.0</v>
      </c>
    </row>
    <row r="1822">
      <c r="A1822" s="2">
        <v>0.31</v>
      </c>
      <c r="B1822" s="2">
        <v>233.6</v>
      </c>
      <c r="C1822" s="2">
        <v>15.3</v>
      </c>
      <c r="D1822" s="2">
        <v>2.74</v>
      </c>
      <c r="E1822" s="2">
        <v>0.21</v>
      </c>
      <c r="F1822" s="2">
        <v>49.9</v>
      </c>
      <c r="G1822" s="4">
        <v>44460.97121181713</v>
      </c>
      <c r="H1822" s="8">
        <v>44460.0</v>
      </c>
    </row>
    <row r="1823">
      <c r="A1823" s="2">
        <v>0.35</v>
      </c>
      <c r="B1823" s="2">
        <v>233.7</v>
      </c>
      <c r="C1823" s="2">
        <v>25.8</v>
      </c>
      <c r="D1823" s="2">
        <v>2.74</v>
      </c>
      <c r="E1823" s="2">
        <v>0.32</v>
      </c>
      <c r="F1823" s="2">
        <v>50.0</v>
      </c>
      <c r="G1823" s="4">
        <v>44460.971322847225</v>
      </c>
      <c r="H1823" s="8">
        <v>44460.0</v>
      </c>
    </row>
    <row r="1824">
      <c r="A1824" s="2">
        <v>0.31</v>
      </c>
      <c r="B1824" s="2">
        <v>233.6</v>
      </c>
      <c r="C1824" s="2">
        <v>15.7</v>
      </c>
      <c r="D1824" s="2">
        <v>2.74</v>
      </c>
      <c r="E1824" s="2">
        <v>0.21</v>
      </c>
      <c r="F1824" s="2">
        <v>49.9</v>
      </c>
      <c r="G1824" s="4">
        <v>44460.97142371528</v>
      </c>
      <c r="H1824" s="8">
        <v>44460.0</v>
      </c>
    </row>
    <row r="1825">
      <c r="A1825" s="2">
        <v>0.35</v>
      </c>
      <c r="B1825" s="2">
        <v>233.6</v>
      </c>
      <c r="C1825" s="2">
        <v>26.5</v>
      </c>
      <c r="D1825" s="2">
        <v>2.74</v>
      </c>
      <c r="E1825" s="2">
        <v>0.33</v>
      </c>
      <c r="F1825" s="2">
        <v>49.9</v>
      </c>
      <c r="G1825" s="4">
        <v>44460.971526064815</v>
      </c>
      <c r="H1825" s="8">
        <v>44460.0</v>
      </c>
    </row>
    <row r="1826">
      <c r="A1826" s="2">
        <v>0.33</v>
      </c>
      <c r="B1826" s="2">
        <v>233.4</v>
      </c>
      <c r="C1826" s="2">
        <v>19.5</v>
      </c>
      <c r="D1826" s="2">
        <v>2.74</v>
      </c>
      <c r="E1826" s="2">
        <v>0.25</v>
      </c>
      <c r="F1826" s="2">
        <v>49.9</v>
      </c>
      <c r="G1826" s="4">
        <v>44460.97162203703</v>
      </c>
      <c r="H1826" s="8">
        <v>44460.0</v>
      </c>
    </row>
    <row r="1827">
      <c r="A1827" s="2">
        <v>0.32</v>
      </c>
      <c r="B1827" s="2">
        <v>233.5</v>
      </c>
      <c r="C1827" s="2">
        <v>16.6</v>
      </c>
      <c r="D1827" s="2">
        <v>2.74</v>
      </c>
      <c r="E1827" s="2">
        <v>0.22</v>
      </c>
      <c r="F1827" s="2">
        <v>49.9</v>
      </c>
      <c r="G1827" s="4">
        <v>44460.97172238426</v>
      </c>
      <c r="H1827" s="8">
        <v>44460.0</v>
      </c>
    </row>
    <row r="1828">
      <c r="A1828" s="2">
        <v>0.34</v>
      </c>
      <c r="B1828" s="2">
        <v>233.4</v>
      </c>
      <c r="C1828" s="2">
        <v>24.5</v>
      </c>
      <c r="D1828" s="2">
        <v>2.74</v>
      </c>
      <c r="E1828" s="2">
        <v>0.31</v>
      </c>
      <c r="F1828" s="2">
        <v>49.9</v>
      </c>
      <c r="G1828" s="4">
        <v>44460.97182449074</v>
      </c>
      <c r="H1828" s="8">
        <v>44460.0</v>
      </c>
    </row>
    <row r="1829">
      <c r="A1829" s="2">
        <v>0.32</v>
      </c>
      <c r="B1829" s="2">
        <v>233.5</v>
      </c>
      <c r="C1829" s="2">
        <v>16.3</v>
      </c>
      <c r="D1829" s="2">
        <v>2.74</v>
      </c>
      <c r="E1829" s="2">
        <v>0.22</v>
      </c>
      <c r="F1829" s="2">
        <v>49.9</v>
      </c>
      <c r="G1829" s="4">
        <v>44460.97192299768</v>
      </c>
      <c r="H1829" s="8">
        <v>44460.0</v>
      </c>
    </row>
    <row r="1830">
      <c r="A1830" s="2">
        <v>0.34</v>
      </c>
      <c r="B1830" s="2">
        <v>233.5</v>
      </c>
      <c r="C1830" s="2">
        <v>24.5</v>
      </c>
      <c r="D1830" s="2">
        <v>2.74</v>
      </c>
      <c r="E1830" s="2">
        <v>0.31</v>
      </c>
      <c r="F1830" s="2">
        <v>50.0</v>
      </c>
      <c r="G1830" s="4">
        <v>44460.97202469908</v>
      </c>
      <c r="H1830" s="8">
        <v>44460.0</v>
      </c>
    </row>
    <row r="1831">
      <c r="A1831" s="2">
        <v>0.35</v>
      </c>
      <c r="B1831" s="2">
        <v>233.5</v>
      </c>
      <c r="C1831" s="2">
        <v>26.2</v>
      </c>
      <c r="D1831" s="2">
        <v>2.74</v>
      </c>
      <c r="E1831" s="2">
        <v>0.32</v>
      </c>
      <c r="F1831" s="2">
        <v>49.9</v>
      </c>
      <c r="G1831" s="4">
        <v>44460.97212042824</v>
      </c>
      <c r="H1831" s="8">
        <v>44460.0</v>
      </c>
    </row>
    <row r="1832">
      <c r="A1832" s="2">
        <v>0.3</v>
      </c>
      <c r="B1832" s="2">
        <v>233.5</v>
      </c>
      <c r="C1832" s="2">
        <v>14.9</v>
      </c>
      <c r="D1832" s="2">
        <v>2.74</v>
      </c>
      <c r="E1832" s="2">
        <v>0.21</v>
      </c>
      <c r="F1832" s="2">
        <v>49.9</v>
      </c>
      <c r="G1832" s="4">
        <v>44460.97221590277</v>
      </c>
      <c r="H1832" s="8">
        <v>44460.0</v>
      </c>
    </row>
    <row r="1833">
      <c r="A1833" s="2">
        <v>0.32</v>
      </c>
      <c r="B1833" s="2">
        <v>233.6</v>
      </c>
      <c r="C1833" s="2">
        <v>19.7</v>
      </c>
      <c r="D1833" s="2">
        <v>2.74</v>
      </c>
      <c r="E1833" s="2">
        <v>0.26</v>
      </c>
      <c r="F1833" s="2">
        <v>50.0</v>
      </c>
      <c r="G1833" s="4">
        <v>44460.97231092592</v>
      </c>
      <c r="H1833" s="8">
        <v>44460.0</v>
      </c>
    </row>
    <row r="1834">
      <c r="A1834" s="2">
        <v>0.32</v>
      </c>
      <c r="B1834" s="2">
        <v>233.6</v>
      </c>
      <c r="C1834" s="2">
        <v>18.1</v>
      </c>
      <c r="D1834" s="2">
        <v>2.74</v>
      </c>
      <c r="E1834" s="2">
        <v>0.24</v>
      </c>
      <c r="F1834" s="2">
        <v>50.0</v>
      </c>
      <c r="G1834" s="4">
        <v>44460.97240612269</v>
      </c>
      <c r="H1834" s="8">
        <v>44460.0</v>
      </c>
    </row>
    <row r="1835">
      <c r="A1835" s="2">
        <v>0.3</v>
      </c>
      <c r="B1835" s="2">
        <v>233.7</v>
      </c>
      <c r="C1835" s="2">
        <v>13.4</v>
      </c>
      <c r="D1835" s="2">
        <v>2.74</v>
      </c>
      <c r="E1835" s="2">
        <v>0.19</v>
      </c>
      <c r="F1835" s="2">
        <v>49.9</v>
      </c>
      <c r="G1835" s="4">
        <v>44460.97250478009</v>
      </c>
      <c r="H1835" s="8">
        <v>44460.0</v>
      </c>
    </row>
    <row r="1836">
      <c r="A1836" s="2">
        <v>0.35</v>
      </c>
      <c r="B1836" s="2">
        <v>233.8</v>
      </c>
      <c r="C1836" s="2">
        <v>24.3</v>
      </c>
      <c r="D1836" s="2">
        <v>2.74</v>
      </c>
      <c r="E1836" s="2">
        <v>0.3</v>
      </c>
      <c r="F1836" s="2">
        <v>50.0</v>
      </c>
      <c r="G1836" s="4">
        <v>44460.972605312505</v>
      </c>
      <c r="H1836" s="8">
        <v>44460.0</v>
      </c>
    </row>
    <row r="1837">
      <c r="A1837" s="2">
        <v>0.31</v>
      </c>
      <c r="B1837" s="2">
        <v>233.9</v>
      </c>
      <c r="C1837" s="2">
        <v>16.0</v>
      </c>
      <c r="D1837" s="2">
        <v>2.74</v>
      </c>
      <c r="E1837" s="2">
        <v>0.22</v>
      </c>
      <c r="F1837" s="2">
        <v>50.0</v>
      </c>
      <c r="G1837" s="4">
        <v>44460.97271178241</v>
      </c>
      <c r="H1837" s="8">
        <v>44460.0</v>
      </c>
    </row>
    <row r="1838">
      <c r="A1838" s="2">
        <v>0.34</v>
      </c>
      <c r="B1838" s="2">
        <v>233.8</v>
      </c>
      <c r="C1838" s="2">
        <v>21.1</v>
      </c>
      <c r="D1838" s="2">
        <v>2.74</v>
      </c>
      <c r="E1838" s="2">
        <v>0.27</v>
      </c>
      <c r="F1838" s="2">
        <v>50.0</v>
      </c>
      <c r="G1838" s="4">
        <v>44460.97281743056</v>
      </c>
      <c r="H1838" s="8">
        <v>44460.0</v>
      </c>
    </row>
    <row r="1839">
      <c r="A1839" s="2">
        <v>0.32</v>
      </c>
      <c r="B1839" s="2">
        <v>233.9</v>
      </c>
      <c r="C1839" s="2">
        <v>20.5</v>
      </c>
      <c r="D1839" s="2">
        <v>2.74</v>
      </c>
      <c r="E1839" s="2">
        <v>0.27</v>
      </c>
      <c r="F1839" s="2">
        <v>50.0</v>
      </c>
      <c r="G1839" s="4">
        <v>44460.97292291667</v>
      </c>
      <c r="H1839" s="8">
        <v>44460.0</v>
      </c>
    </row>
    <row r="1840">
      <c r="A1840" s="2">
        <v>0.31</v>
      </c>
      <c r="B1840" s="2">
        <v>233.8</v>
      </c>
      <c r="C1840" s="2">
        <v>18.0</v>
      </c>
      <c r="D1840" s="2">
        <v>2.74</v>
      </c>
      <c r="E1840" s="2">
        <v>0.25</v>
      </c>
      <c r="F1840" s="2">
        <v>50.0</v>
      </c>
      <c r="G1840" s="4">
        <v>44460.97302642361</v>
      </c>
      <c r="H1840" s="8">
        <v>44460.0</v>
      </c>
    </row>
    <row r="1841">
      <c r="A1841" s="2">
        <v>0.34</v>
      </c>
      <c r="B1841" s="2">
        <v>234.0</v>
      </c>
      <c r="C1841" s="2">
        <v>24.2</v>
      </c>
      <c r="D1841" s="2">
        <v>2.74</v>
      </c>
      <c r="E1841" s="2">
        <v>0.3</v>
      </c>
      <c r="F1841" s="2">
        <v>50.0</v>
      </c>
      <c r="G1841" s="4">
        <v>44460.97312210649</v>
      </c>
      <c r="H1841" s="8">
        <v>44460.0</v>
      </c>
    </row>
    <row r="1842">
      <c r="A1842" s="2">
        <v>0.31</v>
      </c>
      <c r="B1842" s="2">
        <v>233.9</v>
      </c>
      <c r="C1842" s="2">
        <v>13.8</v>
      </c>
      <c r="D1842" s="2">
        <v>2.74</v>
      </c>
      <c r="E1842" s="2">
        <v>0.19</v>
      </c>
      <c r="F1842" s="2">
        <v>50.0</v>
      </c>
      <c r="G1842" s="4">
        <v>44460.973219340274</v>
      </c>
      <c r="H1842" s="8">
        <v>44460.0</v>
      </c>
    </row>
    <row r="1843">
      <c r="A1843" s="2">
        <v>0.31</v>
      </c>
      <c r="B1843" s="2">
        <v>233.8</v>
      </c>
      <c r="C1843" s="2">
        <v>17.1</v>
      </c>
      <c r="D1843" s="2">
        <v>2.74</v>
      </c>
      <c r="E1843" s="2">
        <v>0.24</v>
      </c>
      <c r="F1843" s="2">
        <v>50.0</v>
      </c>
      <c r="G1843" s="4">
        <v>44460.97332493056</v>
      </c>
      <c r="H1843" s="8">
        <v>44460.0</v>
      </c>
    </row>
    <row r="1844">
      <c r="A1844" s="2">
        <v>0.32</v>
      </c>
      <c r="B1844" s="2">
        <v>233.5</v>
      </c>
      <c r="C1844" s="2">
        <v>17.9</v>
      </c>
      <c r="D1844" s="2">
        <v>2.74</v>
      </c>
      <c r="E1844" s="2">
        <v>0.24</v>
      </c>
      <c r="F1844" s="2">
        <v>49.9</v>
      </c>
      <c r="G1844" s="4">
        <v>44460.9734266088</v>
      </c>
      <c r="H1844" s="8">
        <v>44460.0</v>
      </c>
    </row>
    <row r="1845">
      <c r="A1845" s="2">
        <v>0.34</v>
      </c>
      <c r="B1845" s="2">
        <v>233.5</v>
      </c>
      <c r="C1845" s="2">
        <v>24.9</v>
      </c>
      <c r="D1845" s="2">
        <v>2.74</v>
      </c>
      <c r="E1845" s="2">
        <v>0.31</v>
      </c>
      <c r="F1845" s="2">
        <v>49.9</v>
      </c>
      <c r="G1845" s="4">
        <v>44460.97352864583</v>
      </c>
      <c r="H1845" s="8">
        <v>44460.0</v>
      </c>
    </row>
    <row r="1846">
      <c r="A1846" s="2">
        <v>0.34</v>
      </c>
      <c r="B1846" s="2">
        <v>233.6</v>
      </c>
      <c r="C1846" s="2">
        <v>24.4</v>
      </c>
      <c r="D1846" s="2">
        <v>2.74</v>
      </c>
      <c r="E1846" s="2">
        <v>0.31</v>
      </c>
      <c r="F1846" s="2">
        <v>49.9</v>
      </c>
      <c r="G1846" s="4">
        <v>44460.97363440972</v>
      </c>
      <c r="H1846" s="8">
        <v>44460.0</v>
      </c>
    </row>
    <row r="1847">
      <c r="A1847" s="2">
        <v>0.34</v>
      </c>
      <c r="B1847" s="2">
        <v>233.5</v>
      </c>
      <c r="C1847" s="2">
        <v>22.2</v>
      </c>
      <c r="D1847" s="2">
        <v>2.74</v>
      </c>
      <c r="E1847" s="2">
        <v>0.28</v>
      </c>
      <c r="F1847" s="2">
        <v>49.9</v>
      </c>
      <c r="G1847" s="4">
        <v>44460.97377783565</v>
      </c>
      <c r="H1847" s="8">
        <v>44460.0</v>
      </c>
    </row>
    <row r="1848">
      <c r="A1848" s="2">
        <v>0.33</v>
      </c>
      <c r="B1848" s="2">
        <v>233.5</v>
      </c>
      <c r="C1848" s="2">
        <v>22.7</v>
      </c>
      <c r="D1848" s="2">
        <v>2.74</v>
      </c>
      <c r="E1848" s="2">
        <v>0.3</v>
      </c>
      <c r="F1848" s="2">
        <v>49.9</v>
      </c>
      <c r="G1848" s="4">
        <v>44460.97388327547</v>
      </c>
      <c r="H1848" s="8">
        <v>44460.0</v>
      </c>
    </row>
    <row r="1849">
      <c r="A1849" s="2">
        <v>0.3</v>
      </c>
      <c r="B1849" s="2">
        <v>233.6</v>
      </c>
      <c r="C1849" s="2">
        <v>12.8</v>
      </c>
      <c r="D1849" s="2">
        <v>2.74</v>
      </c>
      <c r="E1849" s="2">
        <v>0.18</v>
      </c>
      <c r="F1849" s="2">
        <v>49.9</v>
      </c>
      <c r="G1849" s="4">
        <v>44460.97398525463</v>
      </c>
      <c r="H1849" s="8">
        <v>44460.0</v>
      </c>
    </row>
    <row r="1850">
      <c r="A1850" s="2">
        <v>0.34</v>
      </c>
      <c r="B1850" s="2">
        <v>233.7</v>
      </c>
      <c r="C1850" s="2">
        <v>22.5</v>
      </c>
      <c r="D1850" s="2">
        <v>2.74</v>
      </c>
      <c r="E1850" s="2">
        <v>0.28</v>
      </c>
      <c r="F1850" s="2">
        <v>50.0</v>
      </c>
      <c r="G1850" s="4">
        <v>44460.974084918984</v>
      </c>
      <c r="H1850" s="8">
        <v>44460.0</v>
      </c>
    </row>
    <row r="1851">
      <c r="A1851" s="2">
        <v>0.31</v>
      </c>
      <c r="B1851" s="2">
        <v>233.7</v>
      </c>
      <c r="C1851" s="2">
        <v>15.2</v>
      </c>
      <c r="D1851" s="2">
        <v>2.74</v>
      </c>
      <c r="E1851" s="2">
        <v>0.21</v>
      </c>
      <c r="F1851" s="2">
        <v>50.0</v>
      </c>
      <c r="G1851" s="4">
        <v>44460.974181655096</v>
      </c>
      <c r="H1851" s="8">
        <v>44460.0</v>
      </c>
    </row>
    <row r="1852">
      <c r="A1852" s="2">
        <v>0.34</v>
      </c>
      <c r="B1852" s="2">
        <v>233.6</v>
      </c>
      <c r="C1852" s="2">
        <v>22.6</v>
      </c>
      <c r="D1852" s="2">
        <v>2.74</v>
      </c>
      <c r="E1852" s="2">
        <v>0.28</v>
      </c>
      <c r="F1852" s="2">
        <v>50.0</v>
      </c>
      <c r="G1852" s="4">
        <v>44460.97427744213</v>
      </c>
      <c r="H1852" s="8">
        <v>44460.0</v>
      </c>
    </row>
    <row r="1853">
      <c r="A1853" s="2">
        <v>0.3</v>
      </c>
      <c r="B1853" s="2">
        <v>233.6</v>
      </c>
      <c r="C1853" s="2">
        <v>12.8</v>
      </c>
      <c r="D1853" s="2">
        <v>2.74</v>
      </c>
      <c r="E1853" s="2">
        <v>0.18</v>
      </c>
      <c r="F1853" s="2">
        <v>49.9</v>
      </c>
      <c r="G1853" s="4">
        <v>44460.974378287036</v>
      </c>
      <c r="H1853" s="8">
        <v>44460.0</v>
      </c>
    </row>
    <row r="1854">
      <c r="A1854" s="2">
        <v>0.29</v>
      </c>
      <c r="B1854" s="2">
        <v>233.6</v>
      </c>
      <c r="C1854" s="2">
        <v>12.3</v>
      </c>
      <c r="D1854" s="2">
        <v>2.74</v>
      </c>
      <c r="E1854" s="2">
        <v>0.18</v>
      </c>
      <c r="F1854" s="2">
        <v>50.0</v>
      </c>
      <c r="G1854" s="4">
        <v>44460.974484039354</v>
      </c>
      <c r="H1854" s="8">
        <v>44460.0</v>
      </c>
    </row>
    <row r="1855">
      <c r="A1855" s="2">
        <v>0.34</v>
      </c>
      <c r="B1855" s="2">
        <v>233.4</v>
      </c>
      <c r="C1855" s="2">
        <v>22.4</v>
      </c>
      <c r="D1855" s="2">
        <v>2.74</v>
      </c>
      <c r="E1855" s="2">
        <v>0.28</v>
      </c>
      <c r="F1855" s="2">
        <v>50.0</v>
      </c>
      <c r="G1855" s="4">
        <v>44460.97458653935</v>
      </c>
      <c r="H1855" s="8">
        <v>44460.0</v>
      </c>
    </row>
    <row r="1856">
      <c r="A1856" s="2">
        <v>0.29</v>
      </c>
      <c r="B1856" s="2">
        <v>233.5</v>
      </c>
      <c r="C1856" s="2">
        <v>11.6</v>
      </c>
      <c r="D1856" s="2">
        <v>2.74</v>
      </c>
      <c r="E1856" s="2">
        <v>0.17</v>
      </c>
      <c r="F1856" s="2">
        <v>50.0</v>
      </c>
      <c r="G1856" s="4">
        <v>44460.97468496527</v>
      </c>
      <c r="H1856" s="8">
        <v>44460.0</v>
      </c>
    </row>
    <row r="1857">
      <c r="A1857" s="2">
        <v>0.34</v>
      </c>
      <c r="B1857" s="2">
        <v>233.5</v>
      </c>
      <c r="C1857" s="2">
        <v>22.8</v>
      </c>
      <c r="D1857" s="2">
        <v>2.74</v>
      </c>
      <c r="E1857" s="2">
        <v>0.29</v>
      </c>
      <c r="F1857" s="2">
        <v>50.0</v>
      </c>
      <c r="G1857" s="4">
        <v>44460.97478228009</v>
      </c>
      <c r="H1857" s="8">
        <v>44460.0</v>
      </c>
    </row>
    <row r="1858">
      <c r="A1858" s="2">
        <v>0.34</v>
      </c>
      <c r="B1858" s="2">
        <v>233.5</v>
      </c>
      <c r="C1858" s="2">
        <v>23.8</v>
      </c>
      <c r="D1858" s="2">
        <v>2.74</v>
      </c>
      <c r="E1858" s="2">
        <v>0.3</v>
      </c>
      <c r="F1858" s="2">
        <v>50.0</v>
      </c>
      <c r="G1858" s="4">
        <v>44460.974883125</v>
      </c>
      <c r="H1858" s="8">
        <v>44460.0</v>
      </c>
    </row>
    <row r="1859">
      <c r="A1859" s="2">
        <v>0.29</v>
      </c>
      <c r="B1859" s="2">
        <v>233.5</v>
      </c>
      <c r="C1859" s="2">
        <v>12.8</v>
      </c>
      <c r="D1859" s="2">
        <v>2.74</v>
      </c>
      <c r="E1859" s="2">
        <v>0.19</v>
      </c>
      <c r="F1859" s="2">
        <v>50.0</v>
      </c>
      <c r="G1859" s="4">
        <v>44460.974984375</v>
      </c>
      <c r="H1859" s="8">
        <v>44460.0</v>
      </c>
    </row>
    <row r="1860">
      <c r="A1860" s="2">
        <v>0.34</v>
      </c>
      <c r="B1860" s="2">
        <v>233.4</v>
      </c>
      <c r="C1860" s="2">
        <v>24.5</v>
      </c>
      <c r="D1860" s="2">
        <v>2.74</v>
      </c>
      <c r="E1860" s="2">
        <v>0.31</v>
      </c>
      <c r="F1860" s="2">
        <v>50.0</v>
      </c>
      <c r="G1860" s="4">
        <v>44460.97508413195</v>
      </c>
      <c r="H1860" s="8">
        <v>44460.0</v>
      </c>
    </row>
    <row r="1861">
      <c r="A1861" s="2">
        <v>0.31</v>
      </c>
      <c r="B1861" s="2">
        <v>233.5</v>
      </c>
      <c r="C1861" s="2">
        <v>16.5</v>
      </c>
      <c r="D1861" s="2">
        <v>2.74</v>
      </c>
      <c r="E1861" s="2">
        <v>0.23</v>
      </c>
      <c r="F1861" s="2">
        <v>50.0</v>
      </c>
      <c r="G1861" s="4">
        <v>44460.97518324074</v>
      </c>
      <c r="H1861" s="8">
        <v>44460.0</v>
      </c>
    </row>
    <row r="1862">
      <c r="A1862" s="2">
        <v>0.31</v>
      </c>
      <c r="B1862" s="2">
        <v>233.6</v>
      </c>
      <c r="C1862" s="2">
        <v>13.9</v>
      </c>
      <c r="D1862" s="2">
        <v>2.74</v>
      </c>
      <c r="E1862" s="2">
        <v>0.19</v>
      </c>
      <c r="F1862" s="2">
        <v>50.0</v>
      </c>
      <c r="G1862" s="4">
        <v>44460.975290312505</v>
      </c>
      <c r="H1862" s="8">
        <v>44460.0</v>
      </c>
    </row>
    <row r="1863">
      <c r="A1863" s="2">
        <v>0.3</v>
      </c>
      <c r="B1863" s="2">
        <v>233.5</v>
      </c>
      <c r="C1863" s="2">
        <v>14.7</v>
      </c>
      <c r="D1863" s="2">
        <v>2.74</v>
      </c>
      <c r="E1863" s="2">
        <v>0.21</v>
      </c>
      <c r="F1863" s="2">
        <v>50.0</v>
      </c>
      <c r="G1863" s="4">
        <v>44460.97541185185</v>
      </c>
      <c r="H1863" s="8">
        <v>44460.0</v>
      </c>
    </row>
    <row r="1864">
      <c r="A1864" s="2">
        <v>0.32</v>
      </c>
      <c r="B1864" s="2">
        <v>233.6</v>
      </c>
      <c r="C1864" s="2">
        <v>16.0</v>
      </c>
      <c r="D1864" s="2">
        <v>2.74</v>
      </c>
      <c r="E1864" s="2">
        <v>0.22</v>
      </c>
      <c r="F1864" s="2">
        <v>50.0</v>
      </c>
      <c r="G1864" s="4">
        <v>44460.97551376157</v>
      </c>
      <c r="H1864" s="8">
        <v>44460.0</v>
      </c>
    </row>
    <row r="1865">
      <c r="A1865" s="2">
        <v>0.34</v>
      </c>
      <c r="B1865" s="2">
        <v>233.4</v>
      </c>
      <c r="C1865" s="2">
        <v>23.2</v>
      </c>
      <c r="D1865" s="2">
        <v>2.74</v>
      </c>
      <c r="E1865" s="2">
        <v>0.29</v>
      </c>
      <c r="F1865" s="2">
        <v>50.0</v>
      </c>
      <c r="G1865" s="4">
        <v>44460.97560976852</v>
      </c>
      <c r="H1865" s="8">
        <v>44460.0</v>
      </c>
    </row>
    <row r="1866">
      <c r="A1866" s="2">
        <v>0.29</v>
      </c>
      <c r="B1866" s="2">
        <v>233.5</v>
      </c>
      <c r="C1866" s="2">
        <v>10.5</v>
      </c>
      <c r="D1866" s="2">
        <v>2.74</v>
      </c>
      <c r="E1866" s="2">
        <v>0.15</v>
      </c>
      <c r="F1866" s="2">
        <v>50.0</v>
      </c>
      <c r="G1866" s="4">
        <v>44460.97570710648</v>
      </c>
      <c r="H1866" s="8">
        <v>44460.0</v>
      </c>
    </row>
    <row r="1867">
      <c r="A1867" s="2">
        <v>0.32</v>
      </c>
      <c r="B1867" s="2">
        <v>233.3</v>
      </c>
      <c r="C1867" s="2">
        <v>18.2</v>
      </c>
      <c r="D1867" s="2">
        <v>2.74</v>
      </c>
      <c r="E1867" s="2">
        <v>0.24</v>
      </c>
      <c r="F1867" s="2">
        <v>50.0</v>
      </c>
      <c r="G1867" s="4">
        <v>44460.97580385416</v>
      </c>
      <c r="H1867" s="8">
        <v>44460.0</v>
      </c>
    </row>
    <row r="1868">
      <c r="A1868" s="2">
        <v>0.31</v>
      </c>
      <c r="B1868" s="2">
        <v>233.4</v>
      </c>
      <c r="C1868" s="2">
        <v>17.0</v>
      </c>
      <c r="D1868" s="2">
        <v>2.74</v>
      </c>
      <c r="E1868" s="2">
        <v>0.24</v>
      </c>
      <c r="F1868" s="2">
        <v>50.0</v>
      </c>
      <c r="G1868" s="4">
        <v>44460.975900150464</v>
      </c>
      <c r="H1868" s="8">
        <v>44460.0</v>
      </c>
    </row>
    <row r="1869">
      <c r="A1869" s="2">
        <v>0.29</v>
      </c>
      <c r="B1869" s="2">
        <v>233.5</v>
      </c>
      <c r="C1869" s="2">
        <v>12.2</v>
      </c>
      <c r="D1869" s="2">
        <v>2.74</v>
      </c>
      <c r="E1869" s="2">
        <v>0.18</v>
      </c>
      <c r="F1869" s="2">
        <v>50.0</v>
      </c>
      <c r="G1869" s="4">
        <v>44460.97599623843</v>
      </c>
      <c r="H1869" s="8">
        <v>44460.0</v>
      </c>
    </row>
    <row r="1870">
      <c r="A1870" s="2">
        <v>0.33</v>
      </c>
      <c r="B1870" s="2">
        <v>233.4</v>
      </c>
      <c r="C1870" s="2">
        <v>23.1</v>
      </c>
      <c r="D1870" s="2">
        <v>2.74</v>
      </c>
      <c r="E1870" s="2">
        <v>0.3</v>
      </c>
      <c r="F1870" s="2">
        <v>50.0</v>
      </c>
      <c r="G1870" s="4">
        <v>44460.97609231481</v>
      </c>
      <c r="H1870" s="8">
        <v>44460.0</v>
      </c>
    </row>
    <row r="1871">
      <c r="A1871" s="2">
        <v>0.31</v>
      </c>
      <c r="B1871" s="2">
        <v>233.4</v>
      </c>
      <c r="C1871" s="2">
        <v>18.0</v>
      </c>
      <c r="D1871" s="2">
        <v>2.74</v>
      </c>
      <c r="E1871" s="2">
        <v>0.25</v>
      </c>
      <c r="F1871" s="2">
        <v>49.9</v>
      </c>
      <c r="G1871" s="4">
        <v>44460.97619064814</v>
      </c>
      <c r="H1871" s="8">
        <v>44460.0</v>
      </c>
    </row>
    <row r="1872">
      <c r="A1872" s="2">
        <v>0.29</v>
      </c>
      <c r="B1872" s="2">
        <v>233.4</v>
      </c>
      <c r="C1872" s="2">
        <v>11.4</v>
      </c>
      <c r="D1872" s="2">
        <v>2.74</v>
      </c>
      <c r="E1872" s="2">
        <v>0.17</v>
      </c>
      <c r="F1872" s="2">
        <v>49.9</v>
      </c>
      <c r="G1872" s="4">
        <v>44460.97629042824</v>
      </c>
      <c r="H1872" s="8">
        <v>44460.0</v>
      </c>
    </row>
    <row r="1873">
      <c r="A1873" s="2">
        <v>0.33</v>
      </c>
      <c r="B1873" s="2">
        <v>233.3</v>
      </c>
      <c r="C1873" s="2">
        <v>23.3</v>
      </c>
      <c r="D1873" s="2">
        <v>2.74</v>
      </c>
      <c r="E1873" s="2">
        <v>0.3</v>
      </c>
      <c r="F1873" s="2">
        <v>49.9</v>
      </c>
      <c r="G1873" s="4">
        <v>44460.97638716435</v>
      </c>
      <c r="H1873" s="8">
        <v>44460.0</v>
      </c>
    </row>
    <row r="1874">
      <c r="A1874" s="2">
        <v>0.31</v>
      </c>
      <c r="B1874" s="2">
        <v>233.3</v>
      </c>
      <c r="C1874" s="2">
        <v>16.3</v>
      </c>
      <c r="D1874" s="2">
        <v>2.74</v>
      </c>
      <c r="E1874" s="2">
        <v>0.23</v>
      </c>
      <c r="F1874" s="2">
        <v>49.9</v>
      </c>
      <c r="G1874" s="4">
        <v>44460.9764847801</v>
      </c>
      <c r="H1874" s="8">
        <v>44460.0</v>
      </c>
    </row>
    <row r="1875">
      <c r="A1875" s="2">
        <v>0.34</v>
      </c>
      <c r="B1875" s="2">
        <v>233.2</v>
      </c>
      <c r="C1875" s="2">
        <v>23.3</v>
      </c>
      <c r="D1875" s="2">
        <v>2.74</v>
      </c>
      <c r="E1875" s="2">
        <v>0.29</v>
      </c>
      <c r="F1875" s="2">
        <v>49.9</v>
      </c>
      <c r="G1875" s="4">
        <v>44460.976580092596</v>
      </c>
      <c r="H1875" s="8">
        <v>44460.0</v>
      </c>
    </row>
    <row r="1876">
      <c r="A1876" s="2">
        <v>0.34</v>
      </c>
      <c r="B1876" s="2">
        <v>233.4</v>
      </c>
      <c r="C1876" s="2">
        <v>22.9</v>
      </c>
      <c r="D1876" s="2">
        <v>2.74</v>
      </c>
      <c r="E1876" s="2">
        <v>0.29</v>
      </c>
      <c r="F1876" s="2">
        <v>49.9</v>
      </c>
      <c r="G1876" s="4">
        <v>44460.976676261576</v>
      </c>
      <c r="H1876" s="8">
        <v>44460.0</v>
      </c>
    </row>
    <row r="1877">
      <c r="A1877" s="2">
        <v>0.31</v>
      </c>
      <c r="B1877" s="2">
        <v>233.4</v>
      </c>
      <c r="C1877" s="2">
        <v>15.7</v>
      </c>
      <c r="D1877" s="2">
        <v>2.74</v>
      </c>
      <c r="E1877" s="2">
        <v>0.21</v>
      </c>
      <c r="F1877" s="2">
        <v>50.0</v>
      </c>
      <c r="G1877" s="4">
        <v>44460.976774282404</v>
      </c>
      <c r="H1877" s="8">
        <v>44460.0</v>
      </c>
    </row>
    <row r="1878">
      <c r="A1878" s="2">
        <v>0.33</v>
      </c>
      <c r="B1878" s="2">
        <v>233.5</v>
      </c>
      <c r="C1878" s="2">
        <v>20.1</v>
      </c>
      <c r="D1878" s="2">
        <v>2.74</v>
      </c>
      <c r="E1878" s="2">
        <v>0.26</v>
      </c>
      <c r="F1878" s="2">
        <v>50.0</v>
      </c>
      <c r="G1878" s="4">
        <v>44460.97687114583</v>
      </c>
      <c r="H1878" s="8">
        <v>44460.0</v>
      </c>
    </row>
    <row r="1879">
      <c r="A1879" s="2">
        <v>0.3</v>
      </c>
      <c r="B1879" s="2">
        <v>233.5</v>
      </c>
      <c r="C1879" s="2">
        <v>15.2</v>
      </c>
      <c r="D1879" s="2">
        <v>2.74</v>
      </c>
      <c r="E1879" s="2">
        <v>0.22</v>
      </c>
      <c r="F1879" s="2">
        <v>50.0</v>
      </c>
      <c r="G1879" s="4">
        <v>44460.976967002316</v>
      </c>
      <c r="H1879" s="8">
        <v>44460.0</v>
      </c>
    </row>
    <row r="1880">
      <c r="A1880" s="2">
        <v>0.3</v>
      </c>
      <c r="B1880" s="2">
        <v>233.6</v>
      </c>
      <c r="C1880" s="2">
        <v>13.8</v>
      </c>
      <c r="D1880" s="2">
        <v>2.74</v>
      </c>
      <c r="E1880" s="2">
        <v>0.2</v>
      </c>
      <c r="F1880" s="2">
        <v>50.0</v>
      </c>
      <c r="G1880" s="4">
        <v>44460.977064074075</v>
      </c>
      <c r="H1880" s="8">
        <v>44460.0</v>
      </c>
    </row>
    <row r="1881">
      <c r="A1881" s="2">
        <v>0.29</v>
      </c>
      <c r="B1881" s="2">
        <v>233.7</v>
      </c>
      <c r="C1881" s="2">
        <v>10.7</v>
      </c>
      <c r="D1881" s="2">
        <v>2.74</v>
      </c>
      <c r="E1881" s="2">
        <v>0.16</v>
      </c>
      <c r="F1881" s="2">
        <v>50.0</v>
      </c>
      <c r="G1881" s="4">
        <v>44460.97716765046</v>
      </c>
      <c r="H1881" s="8">
        <v>44460.0</v>
      </c>
    </row>
    <row r="1882">
      <c r="A1882" s="2">
        <v>0.29</v>
      </c>
      <c r="B1882" s="2">
        <v>233.6</v>
      </c>
      <c r="C1882" s="2">
        <v>11.2</v>
      </c>
      <c r="D1882" s="2">
        <v>2.74</v>
      </c>
      <c r="E1882" s="2">
        <v>0.16</v>
      </c>
      <c r="F1882" s="2">
        <v>50.0</v>
      </c>
      <c r="G1882" s="4">
        <v>44460.97726627315</v>
      </c>
      <c r="H1882" s="8">
        <v>44460.0</v>
      </c>
    </row>
    <row r="1883">
      <c r="A1883" s="2">
        <v>0.34</v>
      </c>
      <c r="B1883" s="2">
        <v>233.7</v>
      </c>
      <c r="C1883" s="2">
        <v>23.4</v>
      </c>
      <c r="D1883" s="2">
        <v>2.74</v>
      </c>
      <c r="E1883" s="2">
        <v>0.29</v>
      </c>
      <c r="F1883" s="2">
        <v>50.0</v>
      </c>
      <c r="G1883" s="4">
        <v>44460.97736346065</v>
      </c>
      <c r="H1883" s="8">
        <v>44460.0</v>
      </c>
    </row>
    <row r="1884">
      <c r="A1884" s="2">
        <v>0.33</v>
      </c>
      <c r="B1884" s="2">
        <v>233.8</v>
      </c>
      <c r="C1884" s="2">
        <v>22.8</v>
      </c>
      <c r="D1884" s="2">
        <v>2.74</v>
      </c>
      <c r="E1884" s="2">
        <v>0.29</v>
      </c>
      <c r="F1884" s="2">
        <v>50.0</v>
      </c>
      <c r="G1884" s="4">
        <v>44460.977464456024</v>
      </c>
      <c r="H1884" s="8">
        <v>44460.0</v>
      </c>
    </row>
    <row r="1885">
      <c r="A1885" s="2">
        <v>0.32</v>
      </c>
      <c r="B1885" s="2">
        <v>233.9</v>
      </c>
      <c r="C1885" s="2">
        <v>20.6</v>
      </c>
      <c r="D1885" s="2">
        <v>2.75</v>
      </c>
      <c r="E1885" s="2">
        <v>0.27</v>
      </c>
      <c r="F1885" s="2">
        <v>50.0</v>
      </c>
      <c r="G1885" s="4">
        <v>44460.97756471064</v>
      </c>
      <c r="H1885" s="8">
        <v>44460.0</v>
      </c>
    </row>
    <row r="1886">
      <c r="A1886" s="2">
        <v>0.33</v>
      </c>
      <c r="B1886" s="2">
        <v>234.0</v>
      </c>
      <c r="C1886" s="2">
        <v>18.4</v>
      </c>
      <c r="D1886" s="2">
        <v>2.75</v>
      </c>
      <c r="E1886" s="2">
        <v>0.24</v>
      </c>
      <c r="F1886" s="2">
        <v>50.0</v>
      </c>
      <c r="G1886" s="4">
        <v>44460.977659641205</v>
      </c>
      <c r="H1886" s="8">
        <v>44460.0</v>
      </c>
    </row>
    <row r="1887">
      <c r="A1887" s="2">
        <v>0.32</v>
      </c>
      <c r="B1887" s="2">
        <v>233.7</v>
      </c>
      <c r="C1887" s="2">
        <v>18.1</v>
      </c>
      <c r="D1887" s="2">
        <v>2.75</v>
      </c>
      <c r="E1887" s="2">
        <v>0.24</v>
      </c>
      <c r="F1887" s="2">
        <v>50.0</v>
      </c>
      <c r="G1887" s="4">
        <v>44460.9777562963</v>
      </c>
      <c r="H1887" s="8">
        <v>44460.0</v>
      </c>
    </row>
    <row r="1888">
      <c r="A1888" s="2">
        <v>0.32</v>
      </c>
      <c r="B1888" s="2">
        <v>233.7</v>
      </c>
      <c r="C1888" s="2">
        <v>19.2</v>
      </c>
      <c r="D1888" s="2">
        <v>2.75</v>
      </c>
      <c r="E1888" s="2">
        <v>0.26</v>
      </c>
      <c r="F1888" s="2">
        <v>50.0</v>
      </c>
      <c r="G1888" s="4">
        <v>44460.97785517361</v>
      </c>
      <c r="H1888" s="8">
        <v>44460.0</v>
      </c>
    </row>
    <row r="1889">
      <c r="A1889" s="2">
        <v>0.29</v>
      </c>
      <c r="B1889" s="2">
        <v>233.7</v>
      </c>
      <c r="C1889" s="2">
        <v>13.6</v>
      </c>
      <c r="D1889" s="2">
        <v>2.75</v>
      </c>
      <c r="E1889" s="2">
        <v>0.2</v>
      </c>
      <c r="F1889" s="2">
        <v>49.9</v>
      </c>
      <c r="G1889" s="4">
        <v>44460.97795518518</v>
      </c>
      <c r="H1889" s="8">
        <v>44460.0</v>
      </c>
    </row>
    <row r="1890">
      <c r="A1890" s="2">
        <v>0.29</v>
      </c>
      <c r="B1890" s="2">
        <v>233.8</v>
      </c>
      <c r="C1890" s="2">
        <v>11.3</v>
      </c>
      <c r="D1890" s="2">
        <v>2.75</v>
      </c>
      <c r="E1890" s="2">
        <v>0.17</v>
      </c>
      <c r="F1890" s="2">
        <v>49.9</v>
      </c>
      <c r="G1890" s="4">
        <v>44460.97806009259</v>
      </c>
      <c r="H1890" s="8">
        <v>44460.0</v>
      </c>
    </row>
    <row r="1891">
      <c r="A1891" s="2">
        <v>0.3</v>
      </c>
      <c r="B1891" s="2">
        <v>233.7</v>
      </c>
      <c r="C1891" s="2">
        <v>14.7</v>
      </c>
      <c r="D1891" s="2">
        <v>2.75</v>
      </c>
      <c r="E1891" s="2">
        <v>0.21</v>
      </c>
      <c r="F1891" s="2">
        <v>49.9</v>
      </c>
      <c r="G1891" s="4">
        <v>44460.978164201384</v>
      </c>
      <c r="H1891" s="8">
        <v>44460.0</v>
      </c>
    </row>
    <row r="1892">
      <c r="A1892" s="2">
        <v>0.3</v>
      </c>
      <c r="B1892" s="2">
        <v>233.7</v>
      </c>
      <c r="C1892" s="2">
        <v>13.8</v>
      </c>
      <c r="D1892" s="2">
        <v>2.75</v>
      </c>
      <c r="E1892" s="2">
        <v>0.2</v>
      </c>
      <c r="F1892" s="2">
        <v>49.9</v>
      </c>
      <c r="G1892" s="4">
        <v>44460.978273229164</v>
      </c>
      <c r="H1892" s="8">
        <v>44460.0</v>
      </c>
    </row>
    <row r="1893">
      <c r="A1893" s="2">
        <v>0.34</v>
      </c>
      <c r="B1893" s="2">
        <v>233.8</v>
      </c>
      <c r="C1893" s="2">
        <v>22.1</v>
      </c>
      <c r="D1893" s="2">
        <v>2.75</v>
      </c>
      <c r="E1893" s="2">
        <v>0.28</v>
      </c>
      <c r="F1893" s="2">
        <v>49.9</v>
      </c>
      <c r="G1893" s="4">
        <v>44460.9783887963</v>
      </c>
      <c r="H1893" s="8">
        <v>44460.0</v>
      </c>
    </row>
    <row r="1894">
      <c r="A1894" s="2">
        <v>0.34</v>
      </c>
      <c r="B1894" s="2">
        <v>233.9</v>
      </c>
      <c r="C1894" s="2">
        <v>23.0</v>
      </c>
      <c r="D1894" s="2">
        <v>2.75</v>
      </c>
      <c r="E1894" s="2">
        <v>0.29</v>
      </c>
      <c r="F1894" s="2">
        <v>50.0</v>
      </c>
      <c r="G1894" s="4">
        <v>44460.97852278935</v>
      </c>
      <c r="H1894" s="8">
        <v>44460.0</v>
      </c>
    </row>
    <row r="1895">
      <c r="A1895" s="2">
        <v>0.33</v>
      </c>
      <c r="B1895" s="2">
        <v>234.0</v>
      </c>
      <c r="C1895" s="2">
        <v>21.9</v>
      </c>
      <c r="D1895" s="2">
        <v>2.75</v>
      </c>
      <c r="E1895" s="2">
        <v>0.28</v>
      </c>
      <c r="F1895" s="2">
        <v>50.0</v>
      </c>
      <c r="G1895" s="4">
        <v>44460.978621111106</v>
      </c>
      <c r="H1895" s="8">
        <v>44460.0</v>
      </c>
    </row>
    <row r="1896">
      <c r="A1896" s="2">
        <v>0.34</v>
      </c>
      <c r="B1896" s="2">
        <v>234.1</v>
      </c>
      <c r="C1896" s="2">
        <v>22.8</v>
      </c>
      <c r="D1896" s="2">
        <v>2.75</v>
      </c>
      <c r="E1896" s="2">
        <v>0.29</v>
      </c>
      <c r="F1896" s="2">
        <v>50.0</v>
      </c>
      <c r="G1896" s="4">
        <v>44460.97872237269</v>
      </c>
      <c r="H1896" s="8">
        <v>44460.0</v>
      </c>
    </row>
    <row r="1897">
      <c r="A1897" s="2">
        <v>0.34</v>
      </c>
      <c r="B1897" s="2">
        <v>234.1</v>
      </c>
      <c r="C1897" s="2">
        <v>22.0</v>
      </c>
      <c r="D1897" s="2">
        <v>2.75</v>
      </c>
      <c r="E1897" s="2">
        <v>0.28</v>
      </c>
      <c r="F1897" s="2">
        <v>50.0</v>
      </c>
      <c r="G1897" s="4">
        <v>44460.97882496528</v>
      </c>
      <c r="H1897" s="8">
        <v>44460.0</v>
      </c>
    </row>
    <row r="1898">
      <c r="A1898" s="2">
        <v>0.31</v>
      </c>
      <c r="B1898" s="2">
        <v>234.0</v>
      </c>
      <c r="C1898" s="2">
        <v>16.4</v>
      </c>
      <c r="D1898" s="2">
        <v>2.75</v>
      </c>
      <c r="E1898" s="2">
        <v>0.23</v>
      </c>
      <c r="F1898" s="2">
        <v>50.0</v>
      </c>
      <c r="G1898" s="4">
        <v>44460.97892112269</v>
      </c>
      <c r="H1898" s="8">
        <v>44460.0</v>
      </c>
    </row>
    <row r="1899">
      <c r="A1899" s="2">
        <v>0.31</v>
      </c>
      <c r="B1899" s="2">
        <v>234.0</v>
      </c>
      <c r="C1899" s="2">
        <v>15.9</v>
      </c>
      <c r="D1899" s="2">
        <v>2.75</v>
      </c>
      <c r="E1899" s="2">
        <v>0.22</v>
      </c>
      <c r="F1899" s="2">
        <v>50.0</v>
      </c>
      <c r="G1899" s="4">
        <v>44460.979017199075</v>
      </c>
      <c r="H1899" s="8">
        <v>44460.0</v>
      </c>
    </row>
    <row r="1900">
      <c r="A1900" s="2">
        <v>0.29</v>
      </c>
      <c r="B1900" s="2">
        <v>233.8</v>
      </c>
      <c r="C1900" s="2">
        <v>10.3</v>
      </c>
      <c r="D1900" s="2">
        <v>2.75</v>
      </c>
      <c r="E1900" s="2">
        <v>0.15</v>
      </c>
      <c r="F1900" s="2">
        <v>50.0</v>
      </c>
      <c r="G1900" s="4">
        <v>44460.979119270836</v>
      </c>
      <c r="H1900" s="8">
        <v>44460.0</v>
      </c>
    </row>
    <row r="1901">
      <c r="A1901" s="2">
        <v>0.32</v>
      </c>
      <c r="B1901" s="2">
        <v>233.9</v>
      </c>
      <c r="C1901" s="2">
        <v>21.1</v>
      </c>
      <c r="D1901" s="2">
        <v>2.75</v>
      </c>
      <c r="E1901" s="2">
        <v>0.28</v>
      </c>
      <c r="F1901" s="2">
        <v>50.0</v>
      </c>
      <c r="G1901" s="4">
        <v>44460.97922158564</v>
      </c>
      <c r="H1901" s="8">
        <v>44460.0</v>
      </c>
    </row>
    <row r="1902">
      <c r="A1902" s="2">
        <v>0.28</v>
      </c>
      <c r="B1902" s="2">
        <v>233.9</v>
      </c>
      <c r="C1902" s="2">
        <v>10.5</v>
      </c>
      <c r="D1902" s="2">
        <v>2.75</v>
      </c>
      <c r="E1902" s="2">
        <v>0.16</v>
      </c>
      <c r="F1902" s="2">
        <v>49.9</v>
      </c>
      <c r="G1902" s="4">
        <v>44460.97931836806</v>
      </c>
      <c r="H1902" s="8">
        <v>44460.0</v>
      </c>
    </row>
    <row r="1903">
      <c r="A1903" s="2">
        <v>0.3</v>
      </c>
      <c r="B1903" s="2">
        <v>233.9</v>
      </c>
      <c r="C1903" s="2">
        <v>15.1</v>
      </c>
      <c r="D1903" s="2">
        <v>2.75</v>
      </c>
      <c r="E1903" s="2">
        <v>0.21</v>
      </c>
      <c r="F1903" s="2">
        <v>50.0</v>
      </c>
      <c r="G1903" s="4">
        <v>44460.9794143287</v>
      </c>
      <c r="H1903" s="8">
        <v>44460.0</v>
      </c>
    </row>
    <row r="1904">
      <c r="A1904" s="2">
        <v>0.3</v>
      </c>
      <c r="B1904" s="2">
        <v>234.0</v>
      </c>
      <c r="C1904" s="2">
        <v>11.8</v>
      </c>
      <c r="D1904" s="2">
        <v>2.75</v>
      </c>
      <c r="E1904" s="2">
        <v>0.17</v>
      </c>
      <c r="F1904" s="2">
        <v>50.0</v>
      </c>
      <c r="G1904" s="4">
        <v>44460.979509502315</v>
      </c>
      <c r="H1904" s="8">
        <v>44460.0</v>
      </c>
    </row>
    <row r="1905">
      <c r="A1905" s="2">
        <v>0.29</v>
      </c>
      <c r="B1905" s="2">
        <v>234.1</v>
      </c>
      <c r="C1905" s="2">
        <v>9.4</v>
      </c>
      <c r="D1905" s="2">
        <v>2.75</v>
      </c>
      <c r="E1905" s="2">
        <v>0.14</v>
      </c>
      <c r="F1905" s="2">
        <v>50.0</v>
      </c>
      <c r="G1905" s="4">
        <v>44460.979608009264</v>
      </c>
      <c r="H1905" s="8">
        <v>44460.0</v>
      </c>
    </row>
    <row r="1906">
      <c r="A1906" s="2">
        <v>0.34</v>
      </c>
      <c r="B1906" s="2">
        <v>234.2</v>
      </c>
      <c r="C1906" s="2">
        <v>21.2</v>
      </c>
      <c r="D1906" s="2">
        <v>2.75</v>
      </c>
      <c r="E1906" s="2">
        <v>0.27</v>
      </c>
      <c r="F1906" s="2">
        <v>50.0</v>
      </c>
      <c r="G1906" s="4">
        <v>44460.97970431713</v>
      </c>
      <c r="H1906" s="8">
        <v>44460.0</v>
      </c>
    </row>
    <row r="1907">
      <c r="A1907" s="2">
        <v>0.32</v>
      </c>
      <c r="B1907" s="2">
        <v>234.0</v>
      </c>
      <c r="C1907" s="2">
        <v>16.8</v>
      </c>
      <c r="D1907" s="2">
        <v>2.75</v>
      </c>
      <c r="E1907" s="2">
        <v>0.23</v>
      </c>
      <c r="F1907" s="2">
        <v>50.0</v>
      </c>
      <c r="G1907" s="4">
        <v>44460.979799953704</v>
      </c>
      <c r="H1907" s="8">
        <v>44460.0</v>
      </c>
    </row>
    <row r="1908">
      <c r="A1908" s="2">
        <v>0.33</v>
      </c>
      <c r="B1908" s="2">
        <v>233.8</v>
      </c>
      <c r="C1908" s="2">
        <v>21.8</v>
      </c>
      <c r="D1908" s="2">
        <v>2.75</v>
      </c>
      <c r="E1908" s="2">
        <v>0.29</v>
      </c>
      <c r="F1908" s="2">
        <v>50.0</v>
      </c>
      <c r="G1908" s="4">
        <v>44460.979895613425</v>
      </c>
      <c r="H1908" s="8">
        <v>44460.0</v>
      </c>
    </row>
    <row r="1909">
      <c r="A1909" s="2">
        <v>0.34</v>
      </c>
      <c r="B1909" s="2">
        <v>233.7</v>
      </c>
      <c r="C1909" s="2">
        <v>22.8</v>
      </c>
      <c r="D1909" s="2">
        <v>2.75</v>
      </c>
      <c r="E1909" s="2">
        <v>0.29</v>
      </c>
      <c r="F1909" s="2">
        <v>50.0</v>
      </c>
      <c r="G1909" s="4">
        <v>44460.97999331019</v>
      </c>
      <c r="H1909" s="8">
        <v>44460.0</v>
      </c>
    </row>
    <row r="1910">
      <c r="A1910" s="2">
        <v>0.3</v>
      </c>
      <c r="B1910" s="2">
        <v>233.7</v>
      </c>
      <c r="C1910" s="2">
        <v>14.5</v>
      </c>
      <c r="D1910" s="2">
        <v>2.75</v>
      </c>
      <c r="E1910" s="2">
        <v>0.21</v>
      </c>
      <c r="F1910" s="2">
        <v>50.0</v>
      </c>
      <c r="G1910" s="4">
        <v>44460.980092858794</v>
      </c>
      <c r="H1910" s="8">
        <v>44460.0</v>
      </c>
    </row>
    <row r="1911">
      <c r="A1911" s="2">
        <v>0.32</v>
      </c>
      <c r="B1911" s="2">
        <v>233.7</v>
      </c>
      <c r="C1911" s="2">
        <v>20.6</v>
      </c>
      <c r="D1911" s="2">
        <v>2.75</v>
      </c>
      <c r="E1911" s="2">
        <v>0.27</v>
      </c>
      <c r="F1911" s="2">
        <v>50.0</v>
      </c>
      <c r="G1911" s="4">
        <v>44460.98019686343</v>
      </c>
      <c r="H1911" s="8">
        <v>44460.0</v>
      </c>
    </row>
    <row r="1912">
      <c r="A1912" s="2">
        <v>0.33</v>
      </c>
      <c r="B1912" s="2">
        <v>233.8</v>
      </c>
      <c r="C1912" s="2">
        <v>21.9</v>
      </c>
      <c r="D1912" s="2">
        <v>2.75</v>
      </c>
      <c r="E1912" s="2">
        <v>0.29</v>
      </c>
      <c r="F1912" s="2">
        <v>50.0</v>
      </c>
      <c r="G1912" s="4">
        <v>44460.98029788195</v>
      </c>
      <c r="H1912" s="8">
        <v>44460.0</v>
      </c>
    </row>
    <row r="1913">
      <c r="A1913" s="2">
        <v>0.34</v>
      </c>
      <c r="B1913" s="2">
        <v>233.8</v>
      </c>
      <c r="C1913" s="2">
        <v>22.5</v>
      </c>
      <c r="D1913" s="2">
        <v>2.75</v>
      </c>
      <c r="E1913" s="2">
        <v>0.28</v>
      </c>
      <c r="F1913" s="2">
        <v>50.0</v>
      </c>
      <c r="G1913" s="4">
        <v>44460.98039405093</v>
      </c>
      <c r="H1913" s="8">
        <v>44460.0</v>
      </c>
    </row>
    <row r="1914">
      <c r="A1914" s="2">
        <v>0.31</v>
      </c>
      <c r="B1914" s="2">
        <v>233.8</v>
      </c>
      <c r="C1914" s="2">
        <v>18.2</v>
      </c>
      <c r="D1914" s="2">
        <v>2.75</v>
      </c>
      <c r="E1914" s="2">
        <v>0.25</v>
      </c>
      <c r="F1914" s="2">
        <v>50.0</v>
      </c>
      <c r="G1914" s="4">
        <v>44460.98049030092</v>
      </c>
      <c r="H1914" s="8">
        <v>44460.0</v>
      </c>
    </row>
    <row r="1915">
      <c r="A1915" s="2">
        <v>0.33</v>
      </c>
      <c r="B1915" s="2">
        <v>233.8</v>
      </c>
      <c r="C1915" s="2">
        <v>21.9</v>
      </c>
      <c r="D1915" s="2">
        <v>2.75</v>
      </c>
      <c r="E1915" s="2">
        <v>0.28</v>
      </c>
      <c r="F1915" s="2">
        <v>50.0</v>
      </c>
      <c r="G1915" s="4">
        <v>44460.98059310185</v>
      </c>
      <c r="H1915" s="8">
        <v>44460.0</v>
      </c>
    </row>
    <row r="1916">
      <c r="A1916" s="2">
        <v>0.33</v>
      </c>
      <c r="B1916" s="2">
        <v>233.8</v>
      </c>
      <c r="C1916" s="2">
        <v>18.9</v>
      </c>
      <c r="D1916" s="2">
        <v>2.75</v>
      </c>
      <c r="E1916" s="2">
        <v>0.25</v>
      </c>
      <c r="F1916" s="2">
        <v>50.0</v>
      </c>
      <c r="G1916" s="4">
        <v>44460.980695289356</v>
      </c>
      <c r="H1916" s="8">
        <v>44460.0</v>
      </c>
    </row>
    <row r="1917">
      <c r="A1917" s="2">
        <v>0.3</v>
      </c>
      <c r="B1917" s="2">
        <v>233.8</v>
      </c>
      <c r="C1917" s="2">
        <v>12.0</v>
      </c>
      <c r="D1917" s="2">
        <v>2.75</v>
      </c>
      <c r="E1917" s="2">
        <v>0.17</v>
      </c>
      <c r="F1917" s="2">
        <v>50.0</v>
      </c>
      <c r="G1917" s="4">
        <v>44460.9807922801</v>
      </c>
      <c r="H1917" s="8">
        <v>44460.0</v>
      </c>
    </row>
    <row r="1918">
      <c r="A1918" s="2">
        <v>0.33</v>
      </c>
      <c r="B1918" s="2">
        <v>233.9</v>
      </c>
      <c r="C1918" s="2">
        <v>20.4</v>
      </c>
      <c r="D1918" s="2">
        <v>2.75</v>
      </c>
      <c r="E1918" s="2">
        <v>0.26</v>
      </c>
      <c r="F1918" s="2">
        <v>50.0</v>
      </c>
      <c r="G1918" s="4">
        <v>44460.98088849537</v>
      </c>
      <c r="H1918" s="8">
        <v>44460.0</v>
      </c>
    </row>
    <row r="1919">
      <c r="A1919" s="2">
        <v>0.3</v>
      </c>
      <c r="B1919" s="2">
        <v>233.9</v>
      </c>
      <c r="C1919" s="2">
        <v>11.5</v>
      </c>
      <c r="D1919" s="2">
        <v>2.75</v>
      </c>
      <c r="E1919" s="2">
        <v>0.16</v>
      </c>
      <c r="F1919" s="2">
        <v>50.0</v>
      </c>
      <c r="G1919" s="4">
        <v>44460.98098733796</v>
      </c>
      <c r="H1919" s="8">
        <v>44460.0</v>
      </c>
    </row>
    <row r="1920">
      <c r="A1920" s="2">
        <v>0.32</v>
      </c>
      <c r="B1920" s="2">
        <v>233.7</v>
      </c>
      <c r="C1920" s="2">
        <v>17.6</v>
      </c>
      <c r="D1920" s="2">
        <v>2.75</v>
      </c>
      <c r="E1920" s="2">
        <v>0.23</v>
      </c>
      <c r="F1920" s="2">
        <v>50.0</v>
      </c>
      <c r="G1920" s="4">
        <v>44460.981086099535</v>
      </c>
      <c r="H1920" s="8">
        <v>44460.0</v>
      </c>
    </row>
    <row r="1921">
      <c r="A1921" s="2">
        <v>0.3</v>
      </c>
      <c r="B1921" s="2">
        <v>233.7</v>
      </c>
      <c r="C1921" s="2">
        <v>11.9</v>
      </c>
      <c r="D1921" s="2">
        <v>2.75</v>
      </c>
      <c r="E1921" s="2">
        <v>0.17</v>
      </c>
      <c r="F1921" s="2">
        <v>50.0</v>
      </c>
      <c r="G1921" s="4">
        <v>44460.981182013886</v>
      </c>
      <c r="H1921" s="8">
        <v>44460.0</v>
      </c>
    </row>
    <row r="1922">
      <c r="A1922" s="2">
        <v>0.32</v>
      </c>
      <c r="B1922" s="2">
        <v>233.7</v>
      </c>
      <c r="C1922" s="2">
        <v>16.9</v>
      </c>
      <c r="D1922" s="2">
        <v>2.75</v>
      </c>
      <c r="E1922" s="2">
        <v>0.23</v>
      </c>
      <c r="F1922" s="2">
        <v>50.0</v>
      </c>
      <c r="G1922" s="4">
        <v>44460.98128043981</v>
      </c>
      <c r="H1922" s="8">
        <v>44460.0</v>
      </c>
    </row>
    <row r="1923">
      <c r="A1923" s="2">
        <v>0.29</v>
      </c>
      <c r="B1923" s="2">
        <v>233.6</v>
      </c>
      <c r="C1923" s="2">
        <v>10.0</v>
      </c>
      <c r="D1923" s="2">
        <v>2.75</v>
      </c>
      <c r="E1923" s="2">
        <v>0.15</v>
      </c>
      <c r="F1923" s="2">
        <v>50.0</v>
      </c>
      <c r="G1923" s="4">
        <v>44460.9813769676</v>
      </c>
      <c r="H1923" s="8">
        <v>44460.0</v>
      </c>
    </row>
    <row r="1924">
      <c r="A1924" s="2">
        <v>0.3</v>
      </c>
      <c r="B1924" s="2">
        <v>233.4</v>
      </c>
      <c r="C1924" s="2">
        <v>14.6</v>
      </c>
      <c r="D1924" s="2">
        <v>2.75</v>
      </c>
      <c r="E1924" s="2">
        <v>0.21</v>
      </c>
      <c r="F1924" s="2">
        <v>49.9</v>
      </c>
      <c r="G1924" s="4">
        <v>44460.98148012732</v>
      </c>
      <c r="H1924" s="8">
        <v>44460.0</v>
      </c>
    </row>
    <row r="1925">
      <c r="A1925" s="2">
        <v>0.33</v>
      </c>
      <c r="B1925" s="2">
        <v>233.7</v>
      </c>
      <c r="C1925" s="2">
        <v>22.4</v>
      </c>
      <c r="D1925" s="2">
        <v>2.75</v>
      </c>
      <c r="E1925" s="2">
        <v>0.29</v>
      </c>
      <c r="F1925" s="2">
        <v>49.9</v>
      </c>
      <c r="G1925" s="4">
        <v>44460.9815837037</v>
      </c>
      <c r="H1925" s="8">
        <v>44460.0</v>
      </c>
    </row>
    <row r="1926">
      <c r="A1926" s="2">
        <v>0.31</v>
      </c>
      <c r="B1926" s="2">
        <v>233.9</v>
      </c>
      <c r="C1926" s="2">
        <v>15.2</v>
      </c>
      <c r="D1926" s="2">
        <v>2.75</v>
      </c>
      <c r="E1926" s="2">
        <v>0.21</v>
      </c>
      <c r="F1926" s="2">
        <v>50.0</v>
      </c>
      <c r="G1926" s="4">
        <v>44460.98171270834</v>
      </c>
      <c r="H1926" s="8">
        <v>44460.0</v>
      </c>
    </row>
    <row r="1927">
      <c r="A1927" s="2">
        <v>0.32</v>
      </c>
      <c r="B1927" s="2">
        <v>233.9</v>
      </c>
      <c r="C1927" s="2">
        <v>18.3</v>
      </c>
      <c r="D1927" s="2">
        <v>2.75</v>
      </c>
      <c r="E1927" s="2">
        <v>0.24</v>
      </c>
      <c r="F1927" s="2">
        <v>50.0</v>
      </c>
      <c r="G1927" s="4">
        <v>44460.98181125</v>
      </c>
      <c r="H1927" s="8">
        <v>44460.0</v>
      </c>
    </row>
    <row r="1928">
      <c r="A1928" s="2">
        <v>0.29</v>
      </c>
      <c r="B1928" s="2">
        <v>233.5</v>
      </c>
      <c r="C1928" s="2">
        <v>11.0</v>
      </c>
      <c r="D1928" s="2">
        <v>2.75</v>
      </c>
      <c r="E1928" s="2">
        <v>0.16</v>
      </c>
      <c r="F1928" s="2">
        <v>50.0</v>
      </c>
      <c r="G1928" s="4">
        <v>44460.98190859954</v>
      </c>
      <c r="H1928" s="8">
        <v>44460.0</v>
      </c>
    </row>
    <row r="1929">
      <c r="A1929" s="2">
        <v>0.33</v>
      </c>
      <c r="B1929" s="2">
        <v>233.6</v>
      </c>
      <c r="C1929" s="2">
        <v>21.9</v>
      </c>
      <c r="D1929" s="2">
        <v>2.75</v>
      </c>
      <c r="E1929" s="2">
        <v>0.28</v>
      </c>
      <c r="F1929" s="2">
        <v>50.0</v>
      </c>
      <c r="G1929" s="4">
        <v>44460.98200883102</v>
      </c>
      <c r="H1929" s="8">
        <v>44460.0</v>
      </c>
    </row>
    <row r="1930">
      <c r="A1930" s="2">
        <v>0.3</v>
      </c>
      <c r="B1930" s="2">
        <v>233.8</v>
      </c>
      <c r="C1930" s="2">
        <v>12.0</v>
      </c>
      <c r="D1930" s="2">
        <v>2.75</v>
      </c>
      <c r="E1930" s="2">
        <v>0.17</v>
      </c>
      <c r="F1930" s="2">
        <v>50.0</v>
      </c>
      <c r="G1930" s="4">
        <v>44460.98211496528</v>
      </c>
      <c r="H1930" s="8">
        <v>44460.0</v>
      </c>
    </row>
    <row r="1931">
      <c r="A1931" s="2">
        <v>0.29</v>
      </c>
      <c r="B1931" s="2">
        <v>234.2</v>
      </c>
      <c r="C1931" s="2">
        <v>12.5</v>
      </c>
      <c r="D1931" s="2">
        <v>2.75</v>
      </c>
      <c r="E1931" s="2">
        <v>0.18</v>
      </c>
      <c r="F1931" s="2">
        <v>50.0</v>
      </c>
      <c r="G1931" s="4">
        <v>44460.98221732639</v>
      </c>
      <c r="H1931" s="8">
        <v>44460.0</v>
      </c>
    </row>
    <row r="1932">
      <c r="A1932" s="2">
        <v>0.29</v>
      </c>
      <c r="B1932" s="2">
        <v>234.3</v>
      </c>
      <c r="C1932" s="2">
        <v>9.9</v>
      </c>
      <c r="D1932" s="2">
        <v>2.75</v>
      </c>
      <c r="E1932" s="2">
        <v>0.15</v>
      </c>
      <c r="F1932" s="2">
        <v>50.0</v>
      </c>
      <c r="G1932" s="4">
        <v>44460.98231730324</v>
      </c>
      <c r="H1932" s="8">
        <v>44460.0</v>
      </c>
    </row>
    <row r="1933">
      <c r="A1933" s="2">
        <v>0.33</v>
      </c>
      <c r="B1933" s="2">
        <v>234.4</v>
      </c>
      <c r="C1933" s="2">
        <v>21.7</v>
      </c>
      <c r="D1933" s="2">
        <v>2.75</v>
      </c>
      <c r="E1933" s="2">
        <v>0.28</v>
      </c>
      <c r="F1933" s="2">
        <v>50.0</v>
      </c>
      <c r="G1933" s="4">
        <v>44460.98242216435</v>
      </c>
      <c r="H1933" s="8">
        <v>44460.0</v>
      </c>
    </row>
    <row r="1934">
      <c r="A1934" s="2">
        <v>0.29</v>
      </c>
      <c r="B1934" s="2">
        <v>233.9</v>
      </c>
      <c r="C1934" s="2">
        <v>10.3</v>
      </c>
      <c r="D1934" s="2">
        <v>2.75</v>
      </c>
      <c r="E1934" s="2">
        <v>0.15</v>
      </c>
      <c r="F1934" s="2">
        <v>50.0</v>
      </c>
      <c r="G1934" s="4">
        <v>44460.98253418981</v>
      </c>
      <c r="H1934" s="8">
        <v>44460.0</v>
      </c>
    </row>
    <row r="1935">
      <c r="A1935" s="2">
        <v>0.31</v>
      </c>
      <c r="B1935" s="2">
        <v>233.9</v>
      </c>
      <c r="C1935" s="2">
        <v>15.8</v>
      </c>
      <c r="D1935" s="2">
        <v>2.75</v>
      </c>
      <c r="E1935" s="2">
        <v>0.22</v>
      </c>
      <c r="F1935" s="2">
        <v>50.0</v>
      </c>
      <c r="G1935" s="4">
        <v>44460.98264623842</v>
      </c>
      <c r="H1935" s="8">
        <v>44460.0</v>
      </c>
    </row>
    <row r="1936">
      <c r="A1936" s="2">
        <v>0.28</v>
      </c>
      <c r="B1936" s="2">
        <v>234.0</v>
      </c>
      <c r="C1936" s="2">
        <v>9.5</v>
      </c>
      <c r="D1936" s="2">
        <v>2.75</v>
      </c>
      <c r="E1936" s="2">
        <v>0.14</v>
      </c>
      <c r="F1936" s="2">
        <v>50.0</v>
      </c>
      <c r="G1936" s="4">
        <v>44460.98274204861</v>
      </c>
      <c r="H1936" s="8">
        <v>44460.0</v>
      </c>
    </row>
    <row r="1937">
      <c r="A1937" s="2">
        <v>0.34</v>
      </c>
      <c r="B1937" s="2">
        <v>234.3</v>
      </c>
      <c r="C1937" s="2">
        <v>22.5</v>
      </c>
      <c r="D1937" s="2">
        <v>2.75</v>
      </c>
      <c r="E1937" s="2">
        <v>0.28</v>
      </c>
      <c r="F1937" s="2">
        <v>50.0</v>
      </c>
      <c r="G1937" s="4">
        <v>44460.98283980324</v>
      </c>
      <c r="H1937" s="8">
        <v>44460.0</v>
      </c>
    </row>
    <row r="1938">
      <c r="A1938" s="2">
        <v>0.32</v>
      </c>
      <c r="B1938" s="2">
        <v>234.3</v>
      </c>
      <c r="C1938" s="2">
        <v>19.4</v>
      </c>
      <c r="D1938" s="2">
        <v>2.75</v>
      </c>
      <c r="E1938" s="2">
        <v>0.26</v>
      </c>
      <c r="F1938" s="2">
        <v>50.0</v>
      </c>
      <c r="G1938" s="4">
        <v>44460.982938333334</v>
      </c>
      <c r="H1938" s="8">
        <v>44460.0</v>
      </c>
    </row>
    <row r="1939">
      <c r="A1939" s="2">
        <v>0.31</v>
      </c>
      <c r="B1939" s="2">
        <v>234.2</v>
      </c>
      <c r="C1939" s="2">
        <v>15.4</v>
      </c>
      <c r="D1939" s="2">
        <v>2.75</v>
      </c>
      <c r="E1939" s="2">
        <v>0.21</v>
      </c>
      <c r="F1939" s="2">
        <v>50.0</v>
      </c>
      <c r="G1939" s="4">
        <v>44460.983034432866</v>
      </c>
      <c r="H1939" s="8">
        <v>44460.0</v>
      </c>
    </row>
    <row r="1940">
      <c r="A1940" s="2">
        <v>0.3</v>
      </c>
      <c r="B1940" s="2">
        <v>234.2</v>
      </c>
      <c r="C1940" s="2">
        <v>13.9</v>
      </c>
      <c r="D1940" s="2">
        <v>2.75</v>
      </c>
      <c r="E1940" s="2">
        <v>0.2</v>
      </c>
      <c r="F1940" s="2">
        <v>50.0</v>
      </c>
      <c r="G1940" s="4">
        <v>44460.98313597222</v>
      </c>
      <c r="H1940" s="8">
        <v>44460.0</v>
      </c>
    </row>
    <row r="1941">
      <c r="A1941" s="2">
        <v>0.33</v>
      </c>
      <c r="B1941" s="2">
        <v>234.3</v>
      </c>
      <c r="C1941" s="2">
        <v>21.1</v>
      </c>
      <c r="D1941" s="2">
        <v>2.75</v>
      </c>
      <c r="E1941" s="2">
        <v>0.27</v>
      </c>
      <c r="F1941" s="2">
        <v>50.0</v>
      </c>
      <c r="G1941" s="4">
        <v>44460.98324047454</v>
      </c>
      <c r="H1941" s="8">
        <v>44460.0</v>
      </c>
    </row>
    <row r="1942">
      <c r="A1942" s="2">
        <v>0.28</v>
      </c>
      <c r="B1942" s="2">
        <v>234.3</v>
      </c>
      <c r="C1942" s="2">
        <v>10.0</v>
      </c>
      <c r="D1942" s="2">
        <v>2.75</v>
      </c>
      <c r="E1942" s="2">
        <v>0.15</v>
      </c>
      <c r="F1942" s="2">
        <v>50.0</v>
      </c>
      <c r="G1942" s="4">
        <v>44460.983341643514</v>
      </c>
      <c r="H1942" s="8">
        <v>44460.0</v>
      </c>
    </row>
    <row r="1943">
      <c r="A1943" s="2">
        <v>0.28</v>
      </c>
      <c r="B1943" s="2">
        <v>234.3</v>
      </c>
      <c r="C1943" s="2">
        <v>9.4</v>
      </c>
      <c r="D1943" s="2">
        <v>2.75</v>
      </c>
      <c r="E1943" s="2">
        <v>0.14</v>
      </c>
      <c r="F1943" s="2">
        <v>50.0</v>
      </c>
      <c r="G1943" s="4">
        <v>44460.98344231481</v>
      </c>
      <c r="H1943" s="8">
        <v>44460.0</v>
      </c>
    </row>
    <row r="1944">
      <c r="A1944" s="2">
        <v>0.28</v>
      </c>
      <c r="B1944" s="2">
        <v>233.9</v>
      </c>
      <c r="C1944" s="2">
        <v>8.5</v>
      </c>
      <c r="D1944" s="2">
        <v>2.75</v>
      </c>
      <c r="E1944" s="2">
        <v>0.13</v>
      </c>
      <c r="F1944" s="2">
        <v>50.0</v>
      </c>
      <c r="G1944" s="4">
        <v>44460.983544930554</v>
      </c>
      <c r="H1944" s="8">
        <v>44460.0</v>
      </c>
    </row>
    <row r="1945">
      <c r="A1945" s="2">
        <v>0.29</v>
      </c>
      <c r="B1945" s="2">
        <v>233.9</v>
      </c>
      <c r="C1945" s="2">
        <v>9.4</v>
      </c>
      <c r="D1945" s="2">
        <v>2.75</v>
      </c>
      <c r="E1945" s="2">
        <v>0.14</v>
      </c>
      <c r="F1945" s="2">
        <v>50.0</v>
      </c>
      <c r="G1945" s="4">
        <v>44460.98364436343</v>
      </c>
      <c r="H1945" s="8">
        <v>44460.0</v>
      </c>
    </row>
    <row r="1946">
      <c r="A1946" s="2">
        <v>0.34</v>
      </c>
      <c r="B1946" s="2">
        <v>233.9</v>
      </c>
      <c r="C1946" s="2">
        <v>22.0</v>
      </c>
      <c r="D1946" s="2">
        <v>2.75</v>
      </c>
      <c r="E1946" s="2">
        <v>0.28</v>
      </c>
      <c r="F1946" s="2">
        <v>50.0</v>
      </c>
      <c r="G1946" s="4">
        <v>44460.98374016203</v>
      </c>
      <c r="H1946" s="8">
        <v>44460.0</v>
      </c>
      <c r="I1946" s="2" t="s">
        <v>14</v>
      </c>
    </row>
    <row r="1947">
      <c r="A1947" s="2">
        <v>0.32</v>
      </c>
      <c r="B1947" s="2">
        <v>233.9</v>
      </c>
      <c r="C1947" s="2">
        <v>19.2</v>
      </c>
      <c r="D1947" s="2">
        <v>2.75</v>
      </c>
      <c r="E1947" s="2">
        <v>0.26</v>
      </c>
      <c r="F1947" s="2">
        <v>50.0</v>
      </c>
      <c r="G1947" s="4">
        <v>44460.983837569445</v>
      </c>
      <c r="H1947" s="8">
        <v>44460.0</v>
      </c>
    </row>
    <row r="1948">
      <c r="A1948" s="2">
        <v>0.28</v>
      </c>
      <c r="B1948" s="2">
        <v>234.2</v>
      </c>
      <c r="C1948" s="2">
        <v>9.1</v>
      </c>
      <c r="D1948" s="2">
        <v>2.75</v>
      </c>
      <c r="E1948" s="2">
        <v>0.14</v>
      </c>
      <c r="F1948" s="2">
        <v>49.9</v>
      </c>
      <c r="G1948" s="4">
        <v>44460.98393347222</v>
      </c>
      <c r="H1948" s="8">
        <v>44460.0</v>
      </c>
    </row>
    <row r="1949">
      <c r="A1949" s="2">
        <v>0.28</v>
      </c>
      <c r="B1949" s="2">
        <v>234.1</v>
      </c>
      <c r="C1949" s="2">
        <v>8.5</v>
      </c>
      <c r="D1949" s="2">
        <v>2.75</v>
      </c>
      <c r="E1949" s="2">
        <v>0.13</v>
      </c>
      <c r="F1949" s="2">
        <v>49.9</v>
      </c>
      <c r="G1949" s="4">
        <v>44460.98404138889</v>
      </c>
      <c r="H1949" s="8">
        <v>44460.0</v>
      </c>
    </row>
    <row r="1950">
      <c r="A1950" s="2">
        <v>0.28</v>
      </c>
      <c r="B1950" s="2">
        <v>234.1</v>
      </c>
      <c r="C1950" s="2">
        <v>9.3</v>
      </c>
      <c r="D1950" s="2">
        <v>2.75</v>
      </c>
      <c r="E1950" s="2">
        <v>0.14</v>
      </c>
      <c r="F1950" s="2">
        <v>49.9</v>
      </c>
      <c r="G1950" s="4">
        <v>44460.984144016205</v>
      </c>
      <c r="H1950" s="8">
        <v>44460.0</v>
      </c>
    </row>
    <row r="1951">
      <c r="A1951" s="2">
        <v>0.28</v>
      </c>
      <c r="B1951" s="2">
        <v>234.3</v>
      </c>
      <c r="C1951" s="2">
        <v>8.9</v>
      </c>
      <c r="D1951" s="2">
        <v>2.75</v>
      </c>
      <c r="E1951" s="2">
        <v>0.14</v>
      </c>
      <c r="F1951" s="2">
        <v>49.9</v>
      </c>
      <c r="G1951" s="4">
        <v>44460.98424116898</v>
      </c>
      <c r="H1951" s="8">
        <v>44460.0</v>
      </c>
    </row>
    <row r="1952">
      <c r="A1952" s="2">
        <v>0.33</v>
      </c>
      <c r="B1952" s="2">
        <v>234.2</v>
      </c>
      <c r="C1952" s="2">
        <v>19.4</v>
      </c>
      <c r="D1952" s="2">
        <v>2.75</v>
      </c>
      <c r="E1952" s="2">
        <v>0.25</v>
      </c>
      <c r="F1952" s="2">
        <v>50.0</v>
      </c>
      <c r="G1952" s="4">
        <v>44460.98434267361</v>
      </c>
      <c r="H1952" s="8">
        <v>44460.0</v>
      </c>
    </row>
    <row r="1953">
      <c r="A1953" s="2">
        <v>0.29</v>
      </c>
      <c r="B1953" s="2">
        <v>234.4</v>
      </c>
      <c r="C1953" s="2">
        <v>11.2</v>
      </c>
      <c r="D1953" s="2">
        <v>2.75</v>
      </c>
      <c r="E1953" s="2">
        <v>0.17</v>
      </c>
      <c r="F1953" s="2">
        <v>49.9</v>
      </c>
      <c r="G1953" s="4">
        <v>44460.984444594906</v>
      </c>
      <c r="H1953" s="8">
        <v>44460.0</v>
      </c>
    </row>
    <row r="1954">
      <c r="A1954" s="2">
        <v>0.33</v>
      </c>
      <c r="B1954" s="2">
        <v>234.2</v>
      </c>
      <c r="C1954" s="2">
        <v>19.6</v>
      </c>
      <c r="D1954" s="2">
        <v>2.75</v>
      </c>
      <c r="E1954" s="2">
        <v>0.25</v>
      </c>
      <c r="F1954" s="2">
        <v>50.0</v>
      </c>
      <c r="G1954" s="4">
        <v>44460.9845503588</v>
      </c>
      <c r="H1954" s="8">
        <v>44460.0</v>
      </c>
    </row>
    <row r="1955">
      <c r="A1955" s="2">
        <v>0.3</v>
      </c>
      <c r="B1955" s="2">
        <v>234.2</v>
      </c>
      <c r="C1955" s="2">
        <v>13.3</v>
      </c>
      <c r="D1955" s="2">
        <v>2.75</v>
      </c>
      <c r="E1955" s="2">
        <v>0.19</v>
      </c>
      <c r="F1955" s="2">
        <v>50.0</v>
      </c>
      <c r="G1955" s="4">
        <v>44460.9846558912</v>
      </c>
      <c r="H1955" s="8">
        <v>44460.0</v>
      </c>
    </row>
    <row r="1956">
      <c r="A1956" s="2">
        <v>0.32</v>
      </c>
      <c r="B1956" s="2">
        <v>234.4</v>
      </c>
      <c r="C1956" s="2">
        <v>16.9</v>
      </c>
      <c r="D1956" s="2">
        <v>2.75</v>
      </c>
      <c r="E1956" s="2">
        <v>0.23</v>
      </c>
      <c r="F1956" s="2">
        <v>50.0</v>
      </c>
      <c r="G1956" s="4">
        <v>44460.984758287035</v>
      </c>
      <c r="H1956" s="8">
        <v>44460.0</v>
      </c>
    </row>
    <row r="1957">
      <c r="A1957" s="2">
        <v>0.32</v>
      </c>
      <c r="B1957" s="2">
        <v>234.2</v>
      </c>
      <c r="C1957" s="2">
        <v>20.0</v>
      </c>
      <c r="D1957" s="2">
        <v>2.75</v>
      </c>
      <c r="E1957" s="2">
        <v>0.27</v>
      </c>
      <c r="F1957" s="2">
        <v>50.0</v>
      </c>
      <c r="G1957" s="4">
        <v>44460.98485706019</v>
      </c>
      <c r="H1957" s="8">
        <v>44460.0</v>
      </c>
    </row>
    <row r="1958">
      <c r="A1958" s="2">
        <v>0.29</v>
      </c>
      <c r="B1958" s="2">
        <v>234.0</v>
      </c>
      <c r="C1958" s="2">
        <v>9.7</v>
      </c>
      <c r="D1958" s="2">
        <v>2.75</v>
      </c>
      <c r="E1958" s="2">
        <v>0.14</v>
      </c>
      <c r="F1958" s="2">
        <v>50.0</v>
      </c>
      <c r="G1958" s="4">
        <v>44460.984955520835</v>
      </c>
      <c r="H1958" s="8">
        <v>44460.0</v>
      </c>
    </row>
    <row r="1959">
      <c r="A1959" s="2">
        <v>0.28</v>
      </c>
      <c r="B1959" s="2">
        <v>233.9</v>
      </c>
      <c r="C1959" s="2">
        <v>8.7</v>
      </c>
      <c r="D1959" s="2">
        <v>2.75</v>
      </c>
      <c r="E1959" s="2">
        <v>0.13</v>
      </c>
      <c r="F1959" s="2">
        <v>50.0</v>
      </c>
      <c r="G1959" s="4">
        <v>44460.985059756946</v>
      </c>
      <c r="H1959" s="8">
        <v>44460.0</v>
      </c>
    </row>
    <row r="1960">
      <c r="A1960" s="2">
        <v>0.28</v>
      </c>
      <c r="B1960" s="2">
        <v>233.8</v>
      </c>
      <c r="C1960" s="2">
        <v>9.2</v>
      </c>
      <c r="D1960" s="2">
        <v>2.75</v>
      </c>
      <c r="E1960" s="2">
        <v>0.14</v>
      </c>
      <c r="F1960" s="2">
        <v>50.0</v>
      </c>
      <c r="G1960" s="4">
        <v>44460.98516877315</v>
      </c>
      <c r="H1960" s="8">
        <v>44460.0</v>
      </c>
    </row>
    <row r="1961">
      <c r="A1961" s="2">
        <v>0.3</v>
      </c>
      <c r="B1961" s="2">
        <v>233.7</v>
      </c>
      <c r="C1961" s="2">
        <v>12.0</v>
      </c>
      <c r="D1961" s="2">
        <v>2.75</v>
      </c>
      <c r="E1961" s="2">
        <v>0.17</v>
      </c>
      <c r="F1961" s="2">
        <v>50.0</v>
      </c>
      <c r="G1961" s="4">
        <v>44460.98526829861</v>
      </c>
      <c r="H1961" s="8">
        <v>44460.0</v>
      </c>
    </row>
    <row r="1962">
      <c r="A1962" s="2">
        <v>0.33</v>
      </c>
      <c r="B1962" s="2">
        <v>233.7</v>
      </c>
      <c r="C1962" s="2">
        <v>21.3</v>
      </c>
      <c r="D1962" s="2">
        <v>2.75</v>
      </c>
      <c r="E1962" s="2">
        <v>0.27</v>
      </c>
      <c r="F1962" s="2">
        <v>49.9</v>
      </c>
      <c r="G1962" s="4">
        <v>44460.985369710645</v>
      </c>
      <c r="H1962" s="8">
        <v>44460.0</v>
      </c>
    </row>
    <row r="1963">
      <c r="A1963" s="2">
        <v>0.33</v>
      </c>
      <c r="B1963" s="2">
        <v>233.7</v>
      </c>
      <c r="C1963" s="2">
        <v>18.9</v>
      </c>
      <c r="D1963" s="2">
        <v>2.75</v>
      </c>
      <c r="E1963" s="2">
        <v>0.25</v>
      </c>
      <c r="F1963" s="2">
        <v>49.9</v>
      </c>
      <c r="G1963" s="4">
        <v>44460.9854705787</v>
      </c>
      <c r="H1963" s="8">
        <v>44460.0</v>
      </c>
    </row>
    <row r="1964">
      <c r="A1964" s="2">
        <v>0.31</v>
      </c>
      <c r="B1964" s="2">
        <v>233.8</v>
      </c>
      <c r="C1964" s="2">
        <v>18.0</v>
      </c>
      <c r="D1964" s="2">
        <v>2.75</v>
      </c>
      <c r="E1964" s="2">
        <v>0.25</v>
      </c>
      <c r="F1964" s="2">
        <v>49.9</v>
      </c>
      <c r="G1964" s="4">
        <v>44460.985573819446</v>
      </c>
      <c r="H1964" s="8">
        <v>44460.0</v>
      </c>
    </row>
    <row r="1965">
      <c r="A1965" s="2">
        <v>0.29</v>
      </c>
      <c r="B1965" s="2">
        <v>233.9</v>
      </c>
      <c r="C1965" s="2">
        <v>9.5</v>
      </c>
      <c r="D1965" s="2">
        <v>2.75</v>
      </c>
      <c r="E1965" s="2">
        <v>0.14</v>
      </c>
      <c r="F1965" s="2">
        <v>49.9</v>
      </c>
      <c r="G1965" s="4">
        <v>44460.985671828705</v>
      </c>
      <c r="H1965" s="8">
        <v>44460.0</v>
      </c>
    </row>
    <row r="1966">
      <c r="A1966" s="2">
        <v>0.29</v>
      </c>
      <c r="B1966" s="2">
        <v>234.0</v>
      </c>
      <c r="C1966" s="2">
        <v>12.8</v>
      </c>
      <c r="D1966" s="2">
        <v>2.75</v>
      </c>
      <c r="E1966" s="2">
        <v>0.19</v>
      </c>
      <c r="F1966" s="2">
        <v>49.9</v>
      </c>
      <c r="G1966" s="4">
        <v>44460.98579576389</v>
      </c>
      <c r="H1966" s="8">
        <v>44460.0</v>
      </c>
    </row>
    <row r="1967">
      <c r="A1967" s="2">
        <v>0.28</v>
      </c>
      <c r="B1967" s="2">
        <v>234.0</v>
      </c>
      <c r="C1967" s="2">
        <v>8.9</v>
      </c>
      <c r="D1967" s="2">
        <v>2.75</v>
      </c>
      <c r="E1967" s="2">
        <v>0.13</v>
      </c>
      <c r="F1967" s="2">
        <v>50.0</v>
      </c>
      <c r="G1967" s="4">
        <v>44460.98589570602</v>
      </c>
      <c r="H1967" s="8">
        <v>44460.0</v>
      </c>
    </row>
    <row r="1968">
      <c r="A1968" s="2">
        <v>0.33</v>
      </c>
      <c r="B1968" s="2">
        <v>234.2</v>
      </c>
      <c r="C1968" s="2">
        <v>21.3</v>
      </c>
      <c r="D1968" s="2">
        <v>2.75</v>
      </c>
      <c r="E1968" s="2">
        <v>0.27</v>
      </c>
      <c r="F1968" s="2">
        <v>50.0</v>
      </c>
      <c r="G1968" s="4">
        <v>44460.985998055556</v>
      </c>
      <c r="H1968" s="8">
        <v>44460.0</v>
      </c>
    </row>
    <row r="1969">
      <c r="A1969" s="2">
        <v>0.3</v>
      </c>
      <c r="B1969" s="2">
        <v>234.2</v>
      </c>
      <c r="C1969" s="2">
        <v>15.4</v>
      </c>
      <c r="D1969" s="2">
        <v>2.75</v>
      </c>
      <c r="E1969" s="2">
        <v>0.22</v>
      </c>
      <c r="F1969" s="2">
        <v>50.0</v>
      </c>
      <c r="G1969" s="4">
        <v>44460.98609652778</v>
      </c>
      <c r="H1969" s="8">
        <v>44460.0</v>
      </c>
    </row>
    <row r="1970">
      <c r="A1970" s="2">
        <v>0.33</v>
      </c>
      <c r="B1970" s="2">
        <v>234.1</v>
      </c>
      <c r="C1970" s="2">
        <v>21.4</v>
      </c>
      <c r="D1970" s="2">
        <v>2.75</v>
      </c>
      <c r="E1970" s="2">
        <v>0.28</v>
      </c>
      <c r="F1970" s="2">
        <v>50.0</v>
      </c>
      <c r="G1970" s="4">
        <v>44460.98619619213</v>
      </c>
      <c r="H1970" s="8">
        <v>44460.0</v>
      </c>
    </row>
    <row r="1971">
      <c r="A1971" s="2">
        <v>0.29</v>
      </c>
      <c r="B1971" s="2">
        <v>233.9</v>
      </c>
      <c r="C1971" s="2">
        <v>12.3</v>
      </c>
      <c r="D1971" s="2">
        <v>2.75</v>
      </c>
      <c r="E1971" s="2">
        <v>0.18</v>
      </c>
      <c r="F1971" s="2">
        <v>50.0</v>
      </c>
      <c r="G1971" s="4">
        <v>44460.986303125</v>
      </c>
      <c r="H1971" s="8">
        <v>44460.0</v>
      </c>
    </row>
    <row r="1972">
      <c r="A1972" s="2">
        <v>0.32</v>
      </c>
      <c r="B1972" s="2">
        <v>233.9</v>
      </c>
      <c r="C1972" s="2">
        <v>20.9</v>
      </c>
      <c r="D1972" s="2">
        <v>2.75</v>
      </c>
      <c r="E1972" s="2">
        <v>0.27</v>
      </c>
      <c r="F1972" s="2">
        <v>50.0</v>
      </c>
      <c r="G1972" s="4">
        <v>44460.986403981486</v>
      </c>
      <c r="H1972" s="8">
        <v>44460.0</v>
      </c>
    </row>
    <row r="1973">
      <c r="A1973" s="2">
        <v>0.32</v>
      </c>
      <c r="B1973" s="2">
        <v>233.9</v>
      </c>
      <c r="C1973" s="2">
        <v>18.2</v>
      </c>
      <c r="D1973" s="2">
        <v>2.75</v>
      </c>
      <c r="E1973" s="2">
        <v>0.24</v>
      </c>
      <c r="F1973" s="2">
        <v>50.0</v>
      </c>
      <c r="G1973" s="4">
        <v>44460.98649984953</v>
      </c>
      <c r="H1973" s="8">
        <v>44460.0</v>
      </c>
    </row>
    <row r="1974">
      <c r="A1974" s="2">
        <v>0.32</v>
      </c>
      <c r="B1974" s="2">
        <v>233.8</v>
      </c>
      <c r="C1974" s="2">
        <v>19.0</v>
      </c>
      <c r="D1974" s="2">
        <v>2.75</v>
      </c>
      <c r="E1974" s="2">
        <v>0.26</v>
      </c>
      <c r="F1974" s="2">
        <v>50.0</v>
      </c>
      <c r="G1974" s="4">
        <v>44460.9865975</v>
      </c>
      <c r="H1974" s="8">
        <v>44460.0</v>
      </c>
    </row>
    <row r="1975">
      <c r="A1975" s="2">
        <v>0.31</v>
      </c>
      <c r="B1975" s="2">
        <v>233.8</v>
      </c>
      <c r="C1975" s="2">
        <v>13.5</v>
      </c>
      <c r="D1975" s="2">
        <v>2.75</v>
      </c>
      <c r="E1975" s="2">
        <v>0.19</v>
      </c>
      <c r="F1975" s="2">
        <v>50.0</v>
      </c>
      <c r="G1975" s="4">
        <v>44460.98669592592</v>
      </c>
      <c r="H1975" s="8">
        <v>44460.0</v>
      </c>
    </row>
    <row r="1976">
      <c r="A1976" s="2">
        <v>0.33</v>
      </c>
      <c r="B1976" s="2">
        <v>233.7</v>
      </c>
      <c r="C1976" s="2">
        <v>19.7</v>
      </c>
      <c r="D1976" s="2">
        <v>2.75</v>
      </c>
      <c r="E1976" s="2">
        <v>0.26</v>
      </c>
      <c r="F1976" s="2">
        <v>50.0</v>
      </c>
      <c r="G1976" s="4">
        <v>44460.98679224537</v>
      </c>
      <c r="H1976" s="8">
        <v>44460.0</v>
      </c>
    </row>
    <row r="1977">
      <c r="A1977" s="2">
        <v>0.31</v>
      </c>
      <c r="B1977" s="2">
        <v>233.8</v>
      </c>
      <c r="C1977" s="2">
        <v>13.0</v>
      </c>
      <c r="D1977" s="2">
        <v>2.75</v>
      </c>
      <c r="E1977" s="2">
        <v>0.18</v>
      </c>
      <c r="F1977" s="2">
        <v>50.0</v>
      </c>
      <c r="G1977" s="4">
        <v>44460.98689905093</v>
      </c>
      <c r="H1977" s="8">
        <v>44460.0</v>
      </c>
    </row>
    <row r="1978">
      <c r="A1978" s="2">
        <v>0.28</v>
      </c>
      <c r="B1978" s="2">
        <v>233.8</v>
      </c>
      <c r="C1978" s="2">
        <v>8.8</v>
      </c>
      <c r="D1978" s="2">
        <v>2.75</v>
      </c>
      <c r="E1978" s="2">
        <v>0.13</v>
      </c>
      <c r="F1978" s="2">
        <v>50.0</v>
      </c>
      <c r="G1978" s="4">
        <v>44460.98700122685</v>
      </c>
      <c r="H1978" s="8">
        <v>44460.0</v>
      </c>
    </row>
    <row r="1979">
      <c r="A1979" s="2">
        <v>0.31</v>
      </c>
      <c r="B1979" s="2">
        <v>233.7</v>
      </c>
      <c r="C1979" s="2">
        <v>15.8</v>
      </c>
      <c r="D1979" s="2">
        <v>2.75</v>
      </c>
      <c r="E1979" s="2">
        <v>0.22</v>
      </c>
      <c r="F1979" s="2">
        <v>50.0</v>
      </c>
      <c r="G1979" s="4">
        <v>44460.987099247686</v>
      </c>
      <c r="H1979" s="8">
        <v>44460.0</v>
      </c>
    </row>
    <row r="1980">
      <c r="A1980" s="2">
        <v>0.28</v>
      </c>
      <c r="B1980" s="2">
        <v>233.8</v>
      </c>
      <c r="C1980" s="2">
        <v>8.6</v>
      </c>
      <c r="D1980" s="2">
        <v>2.75</v>
      </c>
      <c r="E1980" s="2">
        <v>0.13</v>
      </c>
      <c r="F1980" s="2">
        <v>50.0</v>
      </c>
      <c r="G1980" s="4">
        <v>44460.98720158565</v>
      </c>
      <c r="H1980" s="8">
        <v>44460.0</v>
      </c>
    </row>
    <row r="1981">
      <c r="A1981" s="2">
        <v>0.28</v>
      </c>
      <c r="B1981" s="2">
        <v>233.8</v>
      </c>
      <c r="C1981" s="2">
        <v>8.5</v>
      </c>
      <c r="D1981" s="2">
        <v>2.75</v>
      </c>
      <c r="E1981" s="2">
        <v>0.13</v>
      </c>
      <c r="F1981" s="2">
        <v>50.0</v>
      </c>
      <c r="G1981" s="4">
        <v>44460.98730627315</v>
      </c>
      <c r="H1981" s="8">
        <v>44460.0</v>
      </c>
    </row>
    <row r="1982">
      <c r="A1982" s="2">
        <v>0.31</v>
      </c>
      <c r="B1982" s="2">
        <v>233.9</v>
      </c>
      <c r="C1982" s="2">
        <v>13.4</v>
      </c>
      <c r="D1982" s="2">
        <v>2.75</v>
      </c>
      <c r="E1982" s="2">
        <v>0.19</v>
      </c>
      <c r="F1982" s="2">
        <v>50.0</v>
      </c>
      <c r="G1982" s="4">
        <v>44460.987406712964</v>
      </c>
      <c r="H1982" s="8">
        <v>44460.0</v>
      </c>
    </row>
    <row r="1983">
      <c r="A1983" s="2">
        <v>0.33</v>
      </c>
      <c r="B1983" s="2">
        <v>233.8</v>
      </c>
      <c r="C1983" s="2">
        <v>20.1</v>
      </c>
      <c r="D1983" s="2">
        <v>2.75</v>
      </c>
      <c r="E1983" s="2">
        <v>0.26</v>
      </c>
      <c r="F1983" s="2">
        <v>50.0</v>
      </c>
      <c r="G1983" s="4">
        <v>44460.98750716435</v>
      </c>
      <c r="H1983" s="8">
        <v>44460.0</v>
      </c>
    </row>
    <row r="1984">
      <c r="A1984" s="2">
        <v>0.32</v>
      </c>
      <c r="B1984" s="2">
        <v>233.7</v>
      </c>
      <c r="C1984" s="2">
        <v>20.0</v>
      </c>
      <c r="D1984" s="2">
        <v>2.75</v>
      </c>
      <c r="E1984" s="2">
        <v>0.26</v>
      </c>
      <c r="F1984" s="2">
        <v>49.9</v>
      </c>
      <c r="G1984" s="4">
        <v>44460.98760552083</v>
      </c>
      <c r="H1984" s="8">
        <v>44460.0</v>
      </c>
    </row>
    <row r="1985">
      <c r="A1985" s="2">
        <v>0.31</v>
      </c>
      <c r="B1985" s="2">
        <v>233.7</v>
      </c>
      <c r="C1985" s="2">
        <v>15.2</v>
      </c>
      <c r="D1985" s="2">
        <v>2.75</v>
      </c>
      <c r="E1985" s="2">
        <v>0.21</v>
      </c>
      <c r="F1985" s="2">
        <v>50.0</v>
      </c>
      <c r="G1985" s="4">
        <v>44460.987704513886</v>
      </c>
      <c r="H1985" s="8">
        <v>44460.0</v>
      </c>
    </row>
    <row r="1986">
      <c r="A1986" s="2">
        <v>0.33</v>
      </c>
      <c r="B1986" s="2">
        <v>233.6</v>
      </c>
      <c r="C1986" s="2">
        <v>19.9</v>
      </c>
      <c r="D1986" s="2">
        <v>2.75</v>
      </c>
      <c r="E1986" s="2">
        <v>0.26</v>
      </c>
      <c r="F1986" s="2">
        <v>50.0</v>
      </c>
      <c r="G1986" s="4">
        <v>44460.98780239583</v>
      </c>
      <c r="H1986" s="8">
        <v>44460.0</v>
      </c>
    </row>
    <row r="1987">
      <c r="A1987" s="2">
        <v>0.32</v>
      </c>
      <c r="B1987" s="2">
        <v>233.6</v>
      </c>
      <c r="C1987" s="2">
        <v>19.5</v>
      </c>
      <c r="D1987" s="2">
        <v>2.75</v>
      </c>
      <c r="E1987" s="2">
        <v>0.26</v>
      </c>
      <c r="F1987" s="2">
        <v>49.9</v>
      </c>
      <c r="G1987" s="4">
        <v>44460.987906435184</v>
      </c>
      <c r="H1987" s="8">
        <v>44460.0</v>
      </c>
    </row>
    <row r="1988">
      <c r="A1988" s="2">
        <v>0.3</v>
      </c>
      <c r="B1988" s="2">
        <v>233.6</v>
      </c>
      <c r="C1988" s="2">
        <v>12.8</v>
      </c>
      <c r="D1988" s="2">
        <v>2.75</v>
      </c>
      <c r="E1988" s="2">
        <v>0.18</v>
      </c>
      <c r="F1988" s="2">
        <v>49.9</v>
      </c>
      <c r="G1988" s="4">
        <v>44460.988006238425</v>
      </c>
      <c r="H1988" s="8">
        <v>44460.0</v>
      </c>
    </row>
    <row r="1989">
      <c r="A1989" s="2">
        <v>0.3</v>
      </c>
      <c r="B1989" s="2">
        <v>233.6</v>
      </c>
      <c r="C1989" s="2">
        <v>12.7</v>
      </c>
      <c r="D1989" s="2">
        <v>2.75</v>
      </c>
      <c r="E1989" s="2">
        <v>0.18</v>
      </c>
      <c r="F1989" s="2">
        <v>49.9</v>
      </c>
      <c r="G1989" s="4">
        <v>44460.988105752316</v>
      </c>
      <c r="H1989" s="8">
        <v>44460.0</v>
      </c>
    </row>
    <row r="1990">
      <c r="A1990" s="2">
        <v>0.3</v>
      </c>
      <c r="B1990" s="2">
        <v>233.7</v>
      </c>
      <c r="C1990" s="2">
        <v>11.7</v>
      </c>
      <c r="D1990" s="2">
        <v>2.75</v>
      </c>
      <c r="E1990" s="2">
        <v>0.17</v>
      </c>
      <c r="F1990" s="2">
        <v>49.9</v>
      </c>
      <c r="G1990" s="4">
        <v>44460.98820997685</v>
      </c>
      <c r="H1990" s="8">
        <v>44460.0</v>
      </c>
    </row>
    <row r="1991">
      <c r="A1991" s="2">
        <v>0.29</v>
      </c>
      <c r="B1991" s="2">
        <v>233.7</v>
      </c>
      <c r="C1991" s="2">
        <v>9.4</v>
      </c>
      <c r="D1991" s="2">
        <v>2.75</v>
      </c>
      <c r="E1991" s="2">
        <v>0.14</v>
      </c>
      <c r="F1991" s="2">
        <v>50.0</v>
      </c>
      <c r="G1991" s="4">
        <v>44460.988313587965</v>
      </c>
      <c r="H1991" s="8">
        <v>44460.0</v>
      </c>
    </row>
    <row r="1992">
      <c r="A1992" s="2">
        <v>0.31</v>
      </c>
      <c r="B1992" s="2">
        <v>233.8</v>
      </c>
      <c r="C1992" s="2">
        <v>16.5</v>
      </c>
      <c r="D1992" s="2">
        <v>2.75</v>
      </c>
      <c r="E1992" s="2">
        <v>0.23</v>
      </c>
      <c r="F1992" s="2">
        <v>50.0</v>
      </c>
      <c r="G1992" s="4">
        <v>44460.988433356484</v>
      </c>
      <c r="H1992" s="8">
        <v>44460.0</v>
      </c>
    </row>
    <row r="1993">
      <c r="A1993" s="2">
        <v>0.28</v>
      </c>
      <c r="B1993" s="2">
        <v>234.0</v>
      </c>
      <c r="C1993" s="2">
        <v>8.4</v>
      </c>
      <c r="D1993" s="2">
        <v>2.75</v>
      </c>
      <c r="E1993" s="2">
        <v>0.13</v>
      </c>
      <c r="F1993" s="2">
        <v>50.0</v>
      </c>
      <c r="G1993" s="4">
        <v>44460.98854363426</v>
      </c>
      <c r="H1993" s="8">
        <v>44460.0</v>
      </c>
    </row>
    <row r="1994">
      <c r="A1994" s="2">
        <v>0.29</v>
      </c>
      <c r="B1994" s="2">
        <v>233.9</v>
      </c>
      <c r="C1994" s="2">
        <v>9.6</v>
      </c>
      <c r="D1994" s="2">
        <v>2.75</v>
      </c>
      <c r="E1994" s="2">
        <v>0.14</v>
      </c>
      <c r="F1994" s="2">
        <v>50.0</v>
      </c>
      <c r="G1994" s="4">
        <v>44460.98864833333</v>
      </c>
      <c r="H1994" s="8">
        <v>44460.0</v>
      </c>
    </row>
    <row r="1995">
      <c r="A1995" s="2">
        <v>0.29</v>
      </c>
      <c r="B1995" s="2">
        <v>234.0</v>
      </c>
      <c r="C1995" s="2">
        <v>9.6</v>
      </c>
      <c r="D1995" s="2">
        <v>2.75</v>
      </c>
      <c r="E1995" s="2">
        <v>0.14</v>
      </c>
      <c r="F1995" s="2">
        <v>50.0</v>
      </c>
      <c r="G1995" s="4">
        <v>44460.98875178241</v>
      </c>
      <c r="H1995" s="8">
        <v>44460.0</v>
      </c>
    </row>
    <row r="1996">
      <c r="A1996" s="2">
        <v>0.31</v>
      </c>
      <c r="B1996" s="2">
        <v>234.1</v>
      </c>
      <c r="C1996" s="2">
        <v>13.2</v>
      </c>
      <c r="D1996" s="2">
        <v>2.75</v>
      </c>
      <c r="E1996" s="2">
        <v>0.18</v>
      </c>
      <c r="F1996" s="2">
        <v>50.0</v>
      </c>
      <c r="G1996" s="4">
        <v>44460.98885450231</v>
      </c>
      <c r="H1996" s="8">
        <v>44460.0</v>
      </c>
    </row>
    <row r="1997">
      <c r="A1997" s="2">
        <v>0.3</v>
      </c>
      <c r="B1997" s="2">
        <v>234.0</v>
      </c>
      <c r="C1997" s="2">
        <v>13.8</v>
      </c>
      <c r="D1997" s="2">
        <v>2.75</v>
      </c>
      <c r="E1997" s="2">
        <v>0.2</v>
      </c>
      <c r="F1997" s="2">
        <v>50.0</v>
      </c>
      <c r="G1997" s="4">
        <v>44460.98895353009</v>
      </c>
      <c r="H1997" s="8">
        <v>44460.0</v>
      </c>
    </row>
    <row r="1998">
      <c r="A1998" s="2">
        <v>0.28</v>
      </c>
      <c r="B1998" s="2">
        <v>233.9</v>
      </c>
      <c r="C1998" s="2">
        <v>8.3</v>
      </c>
      <c r="D1998" s="2">
        <v>2.75</v>
      </c>
      <c r="E1998" s="2">
        <v>0.13</v>
      </c>
      <c r="F1998" s="2">
        <v>50.0</v>
      </c>
      <c r="G1998" s="4">
        <v>44460.98905966435</v>
      </c>
      <c r="H1998" s="8">
        <v>44460.0</v>
      </c>
    </row>
    <row r="1999">
      <c r="A1999" s="2">
        <v>0.32</v>
      </c>
      <c r="B1999" s="2">
        <v>233.8</v>
      </c>
      <c r="C1999" s="2">
        <v>19.0</v>
      </c>
      <c r="D1999" s="2">
        <v>2.75</v>
      </c>
      <c r="E1999" s="2">
        <v>0.26</v>
      </c>
      <c r="F1999" s="2">
        <v>50.0</v>
      </c>
      <c r="G1999" s="4">
        <v>44460.989167893524</v>
      </c>
      <c r="H1999" s="8">
        <v>44460.0</v>
      </c>
    </row>
    <row r="2000">
      <c r="A2000" s="2">
        <v>0.28</v>
      </c>
      <c r="B2000" s="2">
        <v>234.0</v>
      </c>
      <c r="C2000" s="2">
        <v>8.9</v>
      </c>
      <c r="D2000" s="2">
        <v>2.75</v>
      </c>
      <c r="E2000" s="2">
        <v>0.14</v>
      </c>
      <c r="F2000" s="2">
        <v>50.0</v>
      </c>
      <c r="G2000" s="4">
        <v>44460.98927017361</v>
      </c>
      <c r="H2000" s="8">
        <v>44460.0</v>
      </c>
    </row>
    <row r="2001">
      <c r="A2001" s="2">
        <v>0.33</v>
      </c>
      <c r="B2001" s="2">
        <v>234.0</v>
      </c>
      <c r="C2001" s="2">
        <v>20.0</v>
      </c>
      <c r="D2001" s="2">
        <v>2.75</v>
      </c>
      <c r="E2001" s="2">
        <v>0.26</v>
      </c>
      <c r="F2001" s="2">
        <v>50.0</v>
      </c>
      <c r="G2001" s="4">
        <v>44460.9893665625</v>
      </c>
      <c r="H2001" s="8">
        <v>44460.0</v>
      </c>
    </row>
    <row r="2002">
      <c r="A2002" s="2">
        <v>0.32</v>
      </c>
      <c r="B2002" s="2">
        <v>234.0</v>
      </c>
      <c r="C2002" s="2">
        <v>16.2</v>
      </c>
      <c r="D2002" s="2">
        <v>2.75</v>
      </c>
      <c r="E2002" s="2">
        <v>0.22</v>
      </c>
      <c r="F2002" s="2">
        <v>50.0</v>
      </c>
      <c r="G2002" s="4">
        <v>44460.989464178245</v>
      </c>
      <c r="H2002" s="8">
        <v>44460.0</v>
      </c>
    </row>
    <row r="2003">
      <c r="A2003" s="2">
        <v>0.33</v>
      </c>
      <c r="B2003" s="2">
        <v>233.9</v>
      </c>
      <c r="C2003" s="2">
        <v>18.8</v>
      </c>
      <c r="D2003" s="2">
        <v>2.75</v>
      </c>
      <c r="E2003" s="2">
        <v>0.25</v>
      </c>
      <c r="F2003" s="2">
        <v>50.0</v>
      </c>
      <c r="G2003" s="4">
        <v>44460.989564166666</v>
      </c>
      <c r="H2003" s="8">
        <v>44460.0</v>
      </c>
    </row>
    <row r="2004">
      <c r="A2004" s="2">
        <v>0.28</v>
      </c>
      <c r="B2004" s="2">
        <v>234.1</v>
      </c>
      <c r="C2004" s="2">
        <v>10.4</v>
      </c>
      <c r="D2004" s="2">
        <v>2.75</v>
      </c>
      <c r="E2004" s="2">
        <v>0.16</v>
      </c>
      <c r="F2004" s="2">
        <v>50.0</v>
      </c>
      <c r="G2004" s="4">
        <v>44460.989661134256</v>
      </c>
      <c r="H2004" s="8">
        <v>44460.0</v>
      </c>
    </row>
    <row r="2005">
      <c r="A2005" s="2">
        <v>0.28</v>
      </c>
      <c r="B2005" s="2">
        <v>233.9</v>
      </c>
      <c r="C2005" s="2">
        <v>8.8</v>
      </c>
      <c r="D2005" s="2">
        <v>2.75</v>
      </c>
      <c r="E2005" s="2">
        <v>0.13</v>
      </c>
      <c r="F2005" s="2">
        <v>50.0</v>
      </c>
      <c r="G2005" s="4">
        <v>44460.98975958333</v>
      </c>
      <c r="H2005" s="8">
        <v>44460.0</v>
      </c>
    </row>
    <row r="2006">
      <c r="A2006" s="2">
        <v>0.28</v>
      </c>
      <c r="B2006" s="2">
        <v>234.0</v>
      </c>
      <c r="C2006" s="2">
        <v>10.2</v>
      </c>
      <c r="D2006" s="2">
        <v>2.75</v>
      </c>
      <c r="E2006" s="2">
        <v>0.15</v>
      </c>
      <c r="F2006" s="2">
        <v>50.0</v>
      </c>
      <c r="G2006" s="4">
        <v>44460.98986980324</v>
      </c>
      <c r="H2006" s="8">
        <v>44460.0</v>
      </c>
    </row>
    <row r="2007">
      <c r="A2007" s="2">
        <v>0.31</v>
      </c>
      <c r="B2007" s="2">
        <v>233.9</v>
      </c>
      <c r="C2007" s="2">
        <v>16.0</v>
      </c>
      <c r="D2007" s="2">
        <v>2.75</v>
      </c>
      <c r="E2007" s="2">
        <v>0.22</v>
      </c>
      <c r="F2007" s="2">
        <v>50.0</v>
      </c>
      <c r="G2007" s="4">
        <v>44460.98997692129</v>
      </c>
      <c r="H2007" s="8">
        <v>44460.0</v>
      </c>
    </row>
    <row r="2008">
      <c r="A2008" s="2">
        <v>0.28</v>
      </c>
      <c r="B2008" s="2">
        <v>234.1</v>
      </c>
      <c r="C2008" s="2">
        <v>8.5</v>
      </c>
      <c r="D2008" s="2">
        <v>2.75</v>
      </c>
      <c r="E2008" s="2">
        <v>0.13</v>
      </c>
      <c r="F2008" s="2">
        <v>50.0</v>
      </c>
      <c r="G2008" s="4">
        <v>44460.99009371528</v>
      </c>
      <c r="H2008" s="8">
        <v>44460.0</v>
      </c>
    </row>
    <row r="2009">
      <c r="A2009" s="2">
        <v>0.31</v>
      </c>
      <c r="B2009" s="2">
        <v>234.1</v>
      </c>
      <c r="C2009" s="2">
        <v>18.3</v>
      </c>
      <c r="D2009" s="2">
        <v>2.75</v>
      </c>
      <c r="E2009" s="2">
        <v>0.25</v>
      </c>
      <c r="F2009" s="2">
        <v>50.0</v>
      </c>
      <c r="G2009" s="4">
        <v>44460.99021179398</v>
      </c>
      <c r="H2009" s="8">
        <v>44460.0</v>
      </c>
    </row>
    <row r="2010">
      <c r="A2010" s="2">
        <v>0.3</v>
      </c>
      <c r="B2010" s="2">
        <v>234.2</v>
      </c>
      <c r="C2010" s="2">
        <v>11.6</v>
      </c>
      <c r="D2010" s="2">
        <v>2.75</v>
      </c>
      <c r="E2010" s="2">
        <v>0.16</v>
      </c>
      <c r="F2010" s="2">
        <v>50.0</v>
      </c>
      <c r="G2010" s="4">
        <v>44460.99030733797</v>
      </c>
      <c r="H2010" s="8">
        <v>44460.0</v>
      </c>
    </row>
    <row r="2011">
      <c r="A2011" s="2">
        <v>0.3</v>
      </c>
      <c r="B2011" s="2">
        <v>234.2</v>
      </c>
      <c r="C2011" s="2">
        <v>14.2</v>
      </c>
      <c r="D2011" s="2">
        <v>2.75</v>
      </c>
      <c r="E2011" s="2">
        <v>0.2</v>
      </c>
      <c r="F2011" s="2">
        <v>50.0</v>
      </c>
      <c r="G2011" s="4">
        <v>44460.99040228009</v>
      </c>
      <c r="H2011" s="8">
        <v>44460.0</v>
      </c>
    </row>
    <row r="2012">
      <c r="A2012" s="2">
        <v>0.3</v>
      </c>
      <c r="B2012" s="2">
        <v>234.2</v>
      </c>
      <c r="C2012" s="2">
        <v>13.4</v>
      </c>
      <c r="D2012" s="2">
        <v>2.75</v>
      </c>
      <c r="E2012" s="2">
        <v>0.19</v>
      </c>
      <c r="F2012" s="2">
        <v>50.0</v>
      </c>
      <c r="G2012" s="4">
        <v>44460.99050368056</v>
      </c>
      <c r="H2012" s="8">
        <v>44460.0</v>
      </c>
    </row>
    <row r="2013">
      <c r="A2013" s="2">
        <v>0.33</v>
      </c>
      <c r="B2013" s="2">
        <v>234.3</v>
      </c>
      <c r="C2013" s="2">
        <v>21.0</v>
      </c>
      <c r="D2013" s="2">
        <v>2.75</v>
      </c>
      <c r="E2013" s="2">
        <v>0.27</v>
      </c>
      <c r="F2013" s="2">
        <v>50.0</v>
      </c>
      <c r="G2013" s="4">
        <v>44460.990608657405</v>
      </c>
      <c r="H2013" s="8">
        <v>44460.0</v>
      </c>
    </row>
    <row r="2014">
      <c r="A2014" s="2">
        <v>0.32</v>
      </c>
      <c r="B2014" s="2">
        <v>234.2</v>
      </c>
      <c r="C2014" s="2">
        <v>17.8</v>
      </c>
      <c r="D2014" s="2">
        <v>2.75</v>
      </c>
      <c r="E2014" s="2">
        <v>0.23</v>
      </c>
      <c r="F2014" s="2">
        <v>50.0</v>
      </c>
      <c r="G2014" s="4">
        <v>44460.990709641206</v>
      </c>
      <c r="H2014" s="8">
        <v>44460.0</v>
      </c>
    </row>
    <row r="2015">
      <c r="A2015" s="2">
        <v>0.29</v>
      </c>
      <c r="B2015" s="2">
        <v>234.3</v>
      </c>
      <c r="C2015" s="2">
        <v>12.6</v>
      </c>
      <c r="D2015" s="2">
        <v>2.75</v>
      </c>
      <c r="E2015" s="2">
        <v>0.18</v>
      </c>
      <c r="F2015" s="2">
        <v>50.0</v>
      </c>
      <c r="G2015" s="4">
        <v>44460.99080596065</v>
      </c>
      <c r="H2015" s="8">
        <v>44460.0</v>
      </c>
    </row>
    <row r="2016">
      <c r="A2016" s="2">
        <v>0.31</v>
      </c>
      <c r="B2016" s="2">
        <v>234.2</v>
      </c>
      <c r="C2016" s="2">
        <v>18.1</v>
      </c>
      <c r="D2016" s="2">
        <v>2.75</v>
      </c>
      <c r="E2016" s="2">
        <v>0.25</v>
      </c>
      <c r="F2016" s="2">
        <v>50.0</v>
      </c>
      <c r="G2016" s="4">
        <v>44460.990907430554</v>
      </c>
      <c r="H2016" s="8">
        <v>44460.0</v>
      </c>
    </row>
    <row r="2017">
      <c r="A2017" s="2">
        <v>0.33</v>
      </c>
      <c r="B2017" s="2">
        <v>234.3</v>
      </c>
      <c r="C2017" s="2">
        <v>19.3</v>
      </c>
      <c r="D2017" s="2">
        <v>2.75</v>
      </c>
      <c r="E2017" s="2">
        <v>0.25</v>
      </c>
      <c r="F2017" s="2">
        <v>50.0</v>
      </c>
      <c r="G2017" s="4">
        <v>44460.991008530094</v>
      </c>
      <c r="H2017" s="8">
        <v>44460.0</v>
      </c>
    </row>
    <row r="2018">
      <c r="A2018" s="2">
        <v>0.28</v>
      </c>
      <c r="B2018" s="2">
        <v>234.3</v>
      </c>
      <c r="C2018" s="2">
        <v>8.0</v>
      </c>
      <c r="D2018" s="2">
        <v>2.75</v>
      </c>
      <c r="E2018" s="2">
        <v>0.12</v>
      </c>
      <c r="F2018" s="2">
        <v>50.0</v>
      </c>
      <c r="G2018" s="4">
        <v>44460.99110370371</v>
      </c>
      <c r="H2018" s="8">
        <v>44460.0</v>
      </c>
    </row>
    <row r="2019">
      <c r="A2019" s="2">
        <v>0.31</v>
      </c>
      <c r="B2019" s="2">
        <v>234.3</v>
      </c>
      <c r="C2019" s="2">
        <v>17.7</v>
      </c>
      <c r="D2019" s="2">
        <v>2.75</v>
      </c>
      <c r="E2019" s="2">
        <v>0.24</v>
      </c>
      <c r="F2019" s="2">
        <v>50.0</v>
      </c>
      <c r="G2019" s="4">
        <v>44460.991202210644</v>
      </c>
      <c r="H2019" s="8">
        <v>44460.0</v>
      </c>
    </row>
    <row r="2020">
      <c r="A2020" s="2">
        <v>0.32</v>
      </c>
      <c r="B2020" s="2">
        <v>234.4</v>
      </c>
      <c r="C2020" s="2">
        <v>17.5</v>
      </c>
      <c r="D2020" s="2">
        <v>2.75</v>
      </c>
      <c r="E2020" s="2">
        <v>0.23</v>
      </c>
      <c r="F2020" s="2">
        <v>50.0</v>
      </c>
      <c r="G2020" s="4">
        <v>44460.99130214121</v>
      </c>
      <c r="H2020" s="8">
        <v>44460.0</v>
      </c>
    </row>
    <row r="2021">
      <c r="A2021" s="2">
        <v>0.31</v>
      </c>
      <c r="B2021" s="2">
        <v>234.5</v>
      </c>
      <c r="C2021" s="2">
        <v>13.1</v>
      </c>
      <c r="D2021" s="2">
        <v>2.75</v>
      </c>
      <c r="E2021" s="2">
        <v>0.18</v>
      </c>
      <c r="F2021" s="2">
        <v>50.0</v>
      </c>
      <c r="G2021" s="4">
        <v>44460.99140423611</v>
      </c>
      <c r="H2021" s="8">
        <v>44460.0</v>
      </c>
    </row>
    <row r="2022">
      <c r="A2022" s="2">
        <v>0.31</v>
      </c>
      <c r="B2022" s="2">
        <v>234.4</v>
      </c>
      <c r="C2022" s="2">
        <v>16.9</v>
      </c>
      <c r="D2022" s="2">
        <v>2.75</v>
      </c>
      <c r="E2022" s="2">
        <v>0.23</v>
      </c>
      <c r="F2022" s="2">
        <v>50.0</v>
      </c>
      <c r="G2022" s="4">
        <v>44460.991500868055</v>
      </c>
      <c r="H2022" s="8">
        <v>44460.0</v>
      </c>
    </row>
    <row r="2023">
      <c r="A2023" s="2">
        <v>0.33</v>
      </c>
      <c r="B2023" s="2">
        <v>234.4</v>
      </c>
      <c r="C2023" s="2">
        <v>18.9</v>
      </c>
      <c r="D2023" s="2">
        <v>2.75</v>
      </c>
      <c r="E2023" s="2">
        <v>0.25</v>
      </c>
      <c r="F2023" s="2">
        <v>50.0</v>
      </c>
      <c r="G2023" s="4">
        <v>44460.99159980324</v>
      </c>
      <c r="H2023" s="8">
        <v>44460.0</v>
      </c>
    </row>
    <row r="2024">
      <c r="A2024" s="2">
        <v>0.3</v>
      </c>
      <c r="B2024" s="2">
        <v>234.5</v>
      </c>
      <c r="C2024" s="2">
        <v>11.9</v>
      </c>
      <c r="D2024" s="2">
        <v>2.75</v>
      </c>
      <c r="E2024" s="2">
        <v>0.17</v>
      </c>
      <c r="F2024" s="2">
        <v>50.0</v>
      </c>
      <c r="G2024" s="4">
        <v>44460.99169957176</v>
      </c>
      <c r="H2024" s="8">
        <v>44460.0</v>
      </c>
    </row>
    <row r="2025">
      <c r="A2025" s="2">
        <v>0.28</v>
      </c>
      <c r="B2025" s="2">
        <v>234.5</v>
      </c>
      <c r="C2025" s="2">
        <v>8.9</v>
      </c>
      <c r="D2025" s="2">
        <v>2.75</v>
      </c>
      <c r="E2025" s="2">
        <v>0.13</v>
      </c>
      <c r="F2025" s="2">
        <v>50.0</v>
      </c>
      <c r="G2025" s="4">
        <v>44460.99179983797</v>
      </c>
      <c r="H2025" s="8">
        <v>44460.0</v>
      </c>
    </row>
    <row r="2026">
      <c r="A2026" s="2">
        <v>0.32</v>
      </c>
      <c r="B2026" s="2">
        <v>234.4</v>
      </c>
      <c r="C2026" s="2">
        <v>15.9</v>
      </c>
      <c r="D2026" s="2">
        <v>2.75</v>
      </c>
      <c r="E2026" s="2">
        <v>0.21</v>
      </c>
      <c r="F2026" s="2">
        <v>50.0</v>
      </c>
      <c r="G2026" s="4">
        <v>44460.99189599537</v>
      </c>
      <c r="H2026" s="8">
        <v>44460.0</v>
      </c>
    </row>
    <row r="2027">
      <c r="A2027" s="2">
        <v>0.28</v>
      </c>
      <c r="B2027" s="2">
        <v>234.6</v>
      </c>
      <c r="C2027" s="2">
        <v>8.5</v>
      </c>
      <c r="D2027" s="2">
        <v>2.75</v>
      </c>
      <c r="E2027" s="2">
        <v>0.13</v>
      </c>
      <c r="F2027" s="2">
        <v>50.0</v>
      </c>
      <c r="G2027" s="4">
        <v>44460.99199311342</v>
      </c>
      <c r="H2027" s="8">
        <v>44460.0</v>
      </c>
    </row>
    <row r="2028">
      <c r="A2028" s="2">
        <v>0.31</v>
      </c>
      <c r="B2028" s="2">
        <v>234.6</v>
      </c>
      <c r="C2028" s="2">
        <v>13.7</v>
      </c>
      <c r="D2028" s="2">
        <v>2.75</v>
      </c>
      <c r="E2028" s="2">
        <v>0.19</v>
      </c>
      <c r="F2028" s="2">
        <v>50.0</v>
      </c>
      <c r="G2028" s="4">
        <v>44460.99208965278</v>
      </c>
      <c r="H2028" s="8">
        <v>44460.0</v>
      </c>
    </row>
    <row r="2029">
      <c r="A2029" s="2">
        <v>0.28</v>
      </c>
      <c r="B2029" s="2">
        <v>234.6</v>
      </c>
      <c r="C2029" s="2">
        <v>8.0</v>
      </c>
      <c r="D2029" s="2">
        <v>2.75</v>
      </c>
      <c r="E2029" s="2">
        <v>0.12</v>
      </c>
      <c r="F2029" s="2">
        <v>50.0</v>
      </c>
      <c r="G2029" s="4">
        <v>44460.99218736112</v>
      </c>
      <c r="H2029" s="8">
        <v>44460.0</v>
      </c>
    </row>
    <row r="2030">
      <c r="A2030" s="2">
        <v>0.32</v>
      </c>
      <c r="B2030" s="2">
        <v>234.6</v>
      </c>
      <c r="C2030" s="2">
        <v>17.4</v>
      </c>
      <c r="D2030" s="2">
        <v>2.75</v>
      </c>
      <c r="E2030" s="2">
        <v>0.23</v>
      </c>
      <c r="F2030" s="2">
        <v>50.0</v>
      </c>
      <c r="G2030" s="4">
        <v>44460.99228390046</v>
      </c>
      <c r="H2030" s="8">
        <v>44460.0</v>
      </c>
    </row>
    <row r="2031">
      <c r="A2031" s="2">
        <v>0.28</v>
      </c>
      <c r="B2031" s="2">
        <v>234.7</v>
      </c>
      <c r="C2031" s="2">
        <v>8.1</v>
      </c>
      <c r="D2031" s="2">
        <v>2.75</v>
      </c>
      <c r="E2031" s="2">
        <v>0.12</v>
      </c>
      <c r="F2031" s="2">
        <v>50.0</v>
      </c>
      <c r="G2031" s="4">
        <v>44460.99238048611</v>
      </c>
      <c r="H2031" s="8">
        <v>44460.0</v>
      </c>
    </row>
    <row r="2032">
      <c r="A2032" s="2">
        <v>0.33</v>
      </c>
      <c r="B2032" s="2">
        <v>234.7</v>
      </c>
      <c r="C2032" s="2">
        <v>19.1</v>
      </c>
      <c r="D2032" s="2">
        <v>2.75</v>
      </c>
      <c r="E2032" s="2">
        <v>0.25</v>
      </c>
      <c r="F2032" s="2">
        <v>50.0</v>
      </c>
      <c r="G2032" s="4">
        <v>44460.99248298611</v>
      </c>
      <c r="H2032" s="8">
        <v>44460.0</v>
      </c>
    </row>
    <row r="2033">
      <c r="A2033" s="2">
        <v>0.33</v>
      </c>
      <c r="B2033" s="2">
        <v>234.7</v>
      </c>
      <c r="C2033" s="2">
        <v>19.4</v>
      </c>
      <c r="D2033" s="2">
        <v>2.75</v>
      </c>
      <c r="E2033" s="2">
        <v>0.25</v>
      </c>
      <c r="F2033" s="2">
        <v>50.0</v>
      </c>
      <c r="G2033" s="4">
        <v>44460.99259047453</v>
      </c>
      <c r="H2033" s="8">
        <v>44460.0</v>
      </c>
    </row>
    <row r="2034">
      <c r="A2034" s="2">
        <v>0.29</v>
      </c>
      <c r="B2034" s="2">
        <v>234.7</v>
      </c>
      <c r="C2034" s="2">
        <v>9.3</v>
      </c>
      <c r="D2034" s="2">
        <v>2.75</v>
      </c>
      <c r="E2034" s="2">
        <v>0.14</v>
      </c>
      <c r="F2034" s="2">
        <v>50.0</v>
      </c>
      <c r="G2034" s="4">
        <v>44460.99268775463</v>
      </c>
      <c r="H2034" s="8">
        <v>44460.0</v>
      </c>
    </row>
    <row r="2035">
      <c r="A2035" s="2">
        <v>0.32</v>
      </c>
      <c r="B2035" s="2">
        <v>234.6</v>
      </c>
      <c r="C2035" s="2">
        <v>16.0</v>
      </c>
      <c r="D2035" s="2">
        <v>2.75</v>
      </c>
      <c r="E2035" s="2">
        <v>0.21</v>
      </c>
      <c r="F2035" s="2">
        <v>50.0</v>
      </c>
      <c r="G2035" s="4">
        <v>44460.99278526621</v>
      </c>
      <c r="H2035" s="8">
        <v>44460.0</v>
      </c>
    </row>
    <row r="2036">
      <c r="A2036" s="2">
        <v>0.29</v>
      </c>
      <c r="B2036" s="2">
        <v>234.6</v>
      </c>
      <c r="C2036" s="2">
        <v>10.2</v>
      </c>
      <c r="D2036" s="2">
        <v>2.75</v>
      </c>
      <c r="E2036" s="2">
        <v>0.15</v>
      </c>
      <c r="F2036" s="2">
        <v>50.0</v>
      </c>
      <c r="G2036" s="4">
        <v>44460.992881087965</v>
      </c>
      <c r="H2036" s="8">
        <v>44460.0</v>
      </c>
    </row>
    <row r="2037">
      <c r="A2037" s="2">
        <v>0.32</v>
      </c>
      <c r="B2037" s="2">
        <v>234.5</v>
      </c>
      <c r="C2037" s="2">
        <v>17.4</v>
      </c>
      <c r="D2037" s="2">
        <v>2.75</v>
      </c>
      <c r="E2037" s="2">
        <v>0.23</v>
      </c>
      <c r="F2037" s="2">
        <v>49.9</v>
      </c>
      <c r="G2037" s="4">
        <v>44460.99298008102</v>
      </c>
      <c r="H2037" s="8">
        <v>44460.0</v>
      </c>
    </row>
    <row r="2038">
      <c r="A2038" s="2">
        <v>0.28</v>
      </c>
      <c r="B2038" s="2">
        <v>234.4</v>
      </c>
      <c r="C2038" s="2">
        <v>7.8</v>
      </c>
      <c r="D2038" s="2">
        <v>2.75</v>
      </c>
      <c r="E2038" s="2">
        <v>0.12</v>
      </c>
      <c r="F2038" s="2">
        <v>49.9</v>
      </c>
      <c r="G2038" s="4">
        <v>44460.99308583333</v>
      </c>
      <c r="H2038" s="8">
        <v>44460.0</v>
      </c>
    </row>
    <row r="2039">
      <c r="A2039" s="2">
        <v>0.3</v>
      </c>
      <c r="B2039" s="2">
        <v>234.3</v>
      </c>
      <c r="C2039" s="2">
        <v>13.6</v>
      </c>
      <c r="D2039" s="2">
        <v>2.75</v>
      </c>
      <c r="E2039" s="2">
        <v>0.2</v>
      </c>
      <c r="F2039" s="2">
        <v>49.9</v>
      </c>
      <c r="G2039" s="4">
        <v>44460.99318721065</v>
      </c>
      <c r="H2039" s="8">
        <v>44460.0</v>
      </c>
    </row>
    <row r="2040">
      <c r="A2040" s="2">
        <v>0.32</v>
      </c>
      <c r="B2040" s="2">
        <v>234.4</v>
      </c>
      <c r="C2040" s="2">
        <v>18.2</v>
      </c>
      <c r="D2040" s="2">
        <v>2.75</v>
      </c>
      <c r="E2040" s="2">
        <v>0.24</v>
      </c>
      <c r="F2040" s="2">
        <v>50.0</v>
      </c>
      <c r="G2040" s="4">
        <v>44460.99328383102</v>
      </c>
      <c r="H2040" s="8">
        <v>44460.0</v>
      </c>
    </row>
    <row r="2041">
      <c r="A2041" s="2">
        <v>0.31</v>
      </c>
      <c r="B2041" s="2">
        <v>234.5</v>
      </c>
      <c r="C2041" s="2">
        <v>16.8</v>
      </c>
      <c r="D2041" s="2">
        <v>2.75</v>
      </c>
      <c r="E2041" s="2">
        <v>0.23</v>
      </c>
      <c r="F2041" s="2">
        <v>50.0</v>
      </c>
      <c r="G2041" s="4">
        <v>44460.99337940972</v>
      </c>
      <c r="H2041" s="8">
        <v>44460.0</v>
      </c>
    </row>
    <row r="2042">
      <c r="A2042" s="2">
        <v>0.32</v>
      </c>
      <c r="B2042" s="2">
        <v>234.4</v>
      </c>
      <c r="C2042" s="2">
        <v>15.9</v>
      </c>
      <c r="D2042" s="2">
        <v>2.75</v>
      </c>
      <c r="E2042" s="2">
        <v>0.21</v>
      </c>
      <c r="F2042" s="2">
        <v>50.0</v>
      </c>
      <c r="G2042" s="4">
        <v>44460.99347378472</v>
      </c>
      <c r="H2042" s="8">
        <v>44460.0</v>
      </c>
    </row>
    <row r="2043">
      <c r="A2043" s="2">
        <v>0.33</v>
      </c>
      <c r="B2043" s="2">
        <v>234.5</v>
      </c>
      <c r="C2043" s="2">
        <v>19.4</v>
      </c>
      <c r="D2043" s="2">
        <v>2.75</v>
      </c>
      <c r="E2043" s="2">
        <v>0.25</v>
      </c>
      <c r="F2043" s="2">
        <v>50.0</v>
      </c>
      <c r="G2043" s="4">
        <v>44460.993572604166</v>
      </c>
      <c r="H2043" s="8">
        <v>44460.0</v>
      </c>
    </row>
    <row r="2044">
      <c r="A2044" s="2">
        <v>0.28</v>
      </c>
      <c r="B2044" s="2">
        <v>234.6</v>
      </c>
      <c r="C2044" s="2">
        <v>7.8</v>
      </c>
      <c r="D2044" s="2">
        <v>2.75</v>
      </c>
      <c r="E2044" s="2">
        <v>0.12</v>
      </c>
      <c r="F2044" s="2">
        <v>50.0</v>
      </c>
      <c r="G2044" s="4">
        <v>44460.993678541665</v>
      </c>
      <c r="H2044" s="8">
        <v>44460.0</v>
      </c>
    </row>
    <row r="2045">
      <c r="A2045" s="2">
        <v>0.3</v>
      </c>
      <c r="B2045" s="2">
        <v>234.5</v>
      </c>
      <c r="C2045" s="2">
        <v>13.7</v>
      </c>
      <c r="D2045" s="2">
        <v>2.75</v>
      </c>
      <c r="E2045" s="2">
        <v>0.2</v>
      </c>
      <c r="F2045" s="2">
        <v>50.0</v>
      </c>
      <c r="G2045" s="4">
        <v>44460.993780324075</v>
      </c>
      <c r="H2045" s="8">
        <v>44460.0</v>
      </c>
    </row>
    <row r="2046">
      <c r="A2046" s="2">
        <v>0.31</v>
      </c>
      <c r="B2046" s="2">
        <v>234.6</v>
      </c>
      <c r="C2046" s="2">
        <v>14.8</v>
      </c>
      <c r="D2046" s="2">
        <v>2.75</v>
      </c>
      <c r="E2046" s="2">
        <v>0.2</v>
      </c>
      <c r="F2046" s="2">
        <v>50.0</v>
      </c>
      <c r="G2046" s="4">
        <v>44460.99388229167</v>
      </c>
      <c r="H2046" s="8">
        <v>44460.0</v>
      </c>
    </row>
    <row r="2047">
      <c r="A2047" s="2">
        <v>0.28</v>
      </c>
      <c r="B2047" s="2">
        <v>234.6</v>
      </c>
      <c r="C2047" s="2">
        <v>8.5</v>
      </c>
      <c r="D2047" s="2">
        <v>2.75</v>
      </c>
      <c r="E2047" s="2">
        <v>0.13</v>
      </c>
      <c r="F2047" s="2">
        <v>50.0</v>
      </c>
      <c r="G2047" s="4">
        <v>44460.99398667824</v>
      </c>
      <c r="H2047" s="8">
        <v>44460.0</v>
      </c>
    </row>
    <row r="2048">
      <c r="A2048" s="2">
        <v>0.31</v>
      </c>
      <c r="B2048" s="2">
        <v>234.6</v>
      </c>
      <c r="C2048" s="2">
        <v>14.0</v>
      </c>
      <c r="D2048" s="2">
        <v>2.75</v>
      </c>
      <c r="E2048" s="2">
        <v>0.19</v>
      </c>
      <c r="F2048" s="2">
        <v>50.0</v>
      </c>
      <c r="G2048" s="4">
        <v>44460.9940838426</v>
      </c>
      <c r="H2048" s="8">
        <v>44460.0</v>
      </c>
    </row>
    <row r="2049">
      <c r="A2049" s="2">
        <v>0.3</v>
      </c>
      <c r="B2049" s="2">
        <v>234.5</v>
      </c>
      <c r="C2049" s="2">
        <v>15.5</v>
      </c>
      <c r="D2049" s="2">
        <v>2.75</v>
      </c>
      <c r="E2049" s="2">
        <v>0.22</v>
      </c>
      <c r="F2049" s="2">
        <v>50.0</v>
      </c>
      <c r="G2049" s="4">
        <v>44460.994181145834</v>
      </c>
      <c r="H2049" s="8">
        <v>44460.0</v>
      </c>
    </row>
    <row r="2050">
      <c r="A2050" s="2">
        <v>0.3</v>
      </c>
      <c r="B2050" s="2">
        <v>234.3</v>
      </c>
      <c r="C2050" s="2">
        <v>11.6</v>
      </c>
      <c r="D2050" s="2">
        <v>2.75</v>
      </c>
      <c r="E2050" s="2">
        <v>0.16</v>
      </c>
      <c r="F2050" s="2">
        <v>49.9</v>
      </c>
      <c r="G2050" s="4">
        <v>44460.99427722223</v>
      </c>
      <c r="H2050" s="8">
        <v>44460.0</v>
      </c>
    </row>
    <row r="2051">
      <c r="A2051" s="2">
        <v>0.32</v>
      </c>
      <c r="B2051" s="2">
        <v>234.3</v>
      </c>
      <c r="C2051" s="2">
        <v>19.8</v>
      </c>
      <c r="D2051" s="2">
        <v>2.75</v>
      </c>
      <c r="E2051" s="2">
        <v>0.26</v>
      </c>
      <c r="F2051" s="2">
        <v>50.0</v>
      </c>
      <c r="G2051" s="4">
        <v>44460.99437396991</v>
      </c>
      <c r="H2051" s="8">
        <v>44460.0</v>
      </c>
    </row>
    <row r="2052">
      <c r="A2052" s="2">
        <v>0.28</v>
      </c>
      <c r="B2052" s="2">
        <v>234.3</v>
      </c>
      <c r="C2052" s="2">
        <v>7.9</v>
      </c>
      <c r="D2052" s="2">
        <v>2.75</v>
      </c>
      <c r="E2052" s="2">
        <v>0.12</v>
      </c>
      <c r="F2052" s="2">
        <v>49.9</v>
      </c>
      <c r="G2052" s="4">
        <v>44460.99447266204</v>
      </c>
      <c r="H2052" s="8">
        <v>44460.0</v>
      </c>
    </row>
    <row r="2053">
      <c r="A2053" s="2">
        <v>0.31</v>
      </c>
      <c r="B2053" s="2">
        <v>234.3</v>
      </c>
      <c r="C2053" s="2">
        <v>17.7</v>
      </c>
      <c r="D2053" s="2">
        <v>2.75</v>
      </c>
      <c r="E2053" s="2">
        <v>0.24</v>
      </c>
      <c r="F2053" s="2">
        <v>49.9</v>
      </c>
      <c r="G2053" s="4">
        <v>44460.99457306713</v>
      </c>
      <c r="H2053" s="8">
        <v>44460.0</v>
      </c>
    </row>
    <row r="2054">
      <c r="A2054" s="2">
        <v>0.3</v>
      </c>
      <c r="B2054" s="2">
        <v>234.3</v>
      </c>
      <c r="C2054" s="2">
        <v>14.7</v>
      </c>
      <c r="D2054" s="2">
        <v>2.75</v>
      </c>
      <c r="E2054" s="2">
        <v>0.21</v>
      </c>
      <c r="F2054" s="2">
        <v>49.9</v>
      </c>
      <c r="G2054" s="4">
        <v>44460.994677372684</v>
      </c>
      <c r="H2054" s="8">
        <v>44460.0</v>
      </c>
    </row>
    <row r="2055">
      <c r="A2055" s="2">
        <v>0.31</v>
      </c>
      <c r="B2055" s="2">
        <v>234.2</v>
      </c>
      <c r="C2055" s="2">
        <v>16.3</v>
      </c>
      <c r="D2055" s="2">
        <v>2.75</v>
      </c>
      <c r="E2055" s="2">
        <v>0.23</v>
      </c>
      <c r="F2055" s="2">
        <v>49.9</v>
      </c>
      <c r="G2055" s="4">
        <v>44460.99478231481</v>
      </c>
      <c r="H2055" s="8">
        <v>44460.0</v>
      </c>
    </row>
    <row r="2056">
      <c r="A2056" s="2">
        <v>0.29</v>
      </c>
      <c r="B2056" s="2">
        <v>234.2</v>
      </c>
      <c r="C2056" s="2">
        <v>12.0</v>
      </c>
      <c r="D2056" s="2">
        <v>2.75</v>
      </c>
      <c r="E2056" s="2">
        <v>0.18</v>
      </c>
      <c r="F2056" s="2">
        <v>49.9</v>
      </c>
      <c r="G2056" s="4">
        <v>44460.99487938658</v>
      </c>
      <c r="H2056" s="8">
        <v>44460.0</v>
      </c>
    </row>
    <row r="2057">
      <c r="A2057" s="2">
        <v>0.28</v>
      </c>
      <c r="B2057" s="2">
        <v>234.2</v>
      </c>
      <c r="C2057" s="2">
        <v>7.9</v>
      </c>
      <c r="D2057" s="2">
        <v>2.75</v>
      </c>
      <c r="E2057" s="2">
        <v>0.12</v>
      </c>
      <c r="F2057" s="2">
        <v>49.9</v>
      </c>
      <c r="G2057" s="4">
        <v>44460.99497943287</v>
      </c>
      <c r="H2057" s="8">
        <v>44460.0</v>
      </c>
    </row>
    <row r="2058">
      <c r="A2058" s="2">
        <v>0.29</v>
      </c>
      <c r="B2058" s="2">
        <v>234.3</v>
      </c>
      <c r="C2058" s="2">
        <v>11.7</v>
      </c>
      <c r="D2058" s="2">
        <v>2.75</v>
      </c>
      <c r="E2058" s="2">
        <v>0.17</v>
      </c>
      <c r="F2058" s="2">
        <v>50.0</v>
      </c>
      <c r="G2058" s="4">
        <v>44460.995077789354</v>
      </c>
      <c r="H2058" s="8">
        <v>44460.0</v>
      </c>
    </row>
    <row r="2059">
      <c r="A2059" s="2">
        <v>0.29</v>
      </c>
      <c r="B2059" s="2">
        <v>234.5</v>
      </c>
      <c r="C2059" s="2">
        <v>8.9</v>
      </c>
      <c r="D2059" s="2">
        <v>2.75</v>
      </c>
      <c r="E2059" s="2">
        <v>0.13</v>
      </c>
      <c r="F2059" s="2">
        <v>50.0</v>
      </c>
      <c r="G2059" s="4">
        <v>44460.99518070601</v>
      </c>
      <c r="H2059" s="8">
        <v>44460.0</v>
      </c>
    </row>
    <row r="2060">
      <c r="A2060" s="2">
        <v>0.28</v>
      </c>
      <c r="B2060" s="2">
        <v>234.5</v>
      </c>
      <c r="C2060" s="2">
        <v>10.1</v>
      </c>
      <c r="D2060" s="2">
        <v>2.75</v>
      </c>
      <c r="E2060" s="2">
        <v>0.15</v>
      </c>
      <c r="F2060" s="2">
        <v>50.0</v>
      </c>
      <c r="G2060" s="4">
        <v>44460.99528398148</v>
      </c>
      <c r="H2060" s="8">
        <v>44460.0</v>
      </c>
    </row>
    <row r="2061">
      <c r="A2061" s="2">
        <v>0.3</v>
      </c>
      <c r="B2061" s="2">
        <v>234.7</v>
      </c>
      <c r="C2061" s="2">
        <v>14.5</v>
      </c>
      <c r="D2061" s="2">
        <v>2.75</v>
      </c>
      <c r="E2061" s="2">
        <v>0.21</v>
      </c>
      <c r="F2061" s="2">
        <v>50.0</v>
      </c>
      <c r="G2061" s="4">
        <v>44460.99538252315</v>
      </c>
      <c r="H2061" s="8">
        <v>44460.0</v>
      </c>
    </row>
    <row r="2062">
      <c r="A2062" s="2">
        <v>0.3</v>
      </c>
      <c r="B2062" s="2">
        <v>234.6</v>
      </c>
      <c r="C2062" s="2">
        <v>10.7</v>
      </c>
      <c r="D2062" s="2">
        <v>2.75</v>
      </c>
      <c r="E2062" s="2">
        <v>0.15</v>
      </c>
      <c r="F2062" s="2">
        <v>50.0</v>
      </c>
      <c r="G2062" s="4">
        <v>44460.99548333333</v>
      </c>
      <c r="H2062" s="8">
        <v>44460.0</v>
      </c>
    </row>
    <row r="2063">
      <c r="A2063" s="2">
        <v>0.3</v>
      </c>
      <c r="B2063" s="2">
        <v>234.8</v>
      </c>
      <c r="C2063" s="2">
        <v>14.7</v>
      </c>
      <c r="D2063" s="2">
        <v>2.75</v>
      </c>
      <c r="E2063" s="2">
        <v>0.21</v>
      </c>
      <c r="F2063" s="2">
        <v>50.0</v>
      </c>
      <c r="G2063" s="4">
        <v>44460.995584895834</v>
      </c>
      <c r="H2063" s="8">
        <v>44460.0</v>
      </c>
    </row>
    <row r="2064">
      <c r="A2064" s="2">
        <v>0.28</v>
      </c>
      <c r="B2064" s="2">
        <v>234.7</v>
      </c>
      <c r="C2064" s="2">
        <v>7.6</v>
      </c>
      <c r="D2064" s="2">
        <v>2.75</v>
      </c>
      <c r="E2064" s="2">
        <v>0.12</v>
      </c>
      <c r="F2064" s="2">
        <v>50.0</v>
      </c>
      <c r="G2064" s="4">
        <v>44460.99568765046</v>
      </c>
      <c r="H2064" s="8">
        <v>44460.0</v>
      </c>
    </row>
    <row r="2065">
      <c r="A2065" s="2">
        <v>0.33</v>
      </c>
      <c r="B2065" s="2">
        <v>234.6</v>
      </c>
      <c r="C2065" s="2">
        <v>19.5</v>
      </c>
      <c r="D2065" s="2">
        <v>2.75</v>
      </c>
      <c r="E2065" s="2">
        <v>0.25</v>
      </c>
      <c r="F2065" s="2">
        <v>50.0</v>
      </c>
      <c r="G2065" s="4">
        <v>44460.995786886575</v>
      </c>
      <c r="H2065" s="8">
        <v>44460.0</v>
      </c>
    </row>
    <row r="2066">
      <c r="A2066" s="2">
        <v>0.31</v>
      </c>
      <c r="B2066" s="2">
        <v>234.5</v>
      </c>
      <c r="C2066" s="2">
        <v>16.7</v>
      </c>
      <c r="D2066" s="2">
        <v>2.75</v>
      </c>
      <c r="E2066" s="2">
        <v>0.23</v>
      </c>
      <c r="F2066" s="2">
        <v>50.0</v>
      </c>
      <c r="G2066" s="4">
        <v>44460.995887453704</v>
      </c>
      <c r="H2066" s="8">
        <v>44460.0</v>
      </c>
    </row>
    <row r="2067">
      <c r="A2067" s="2">
        <v>0.28</v>
      </c>
      <c r="B2067" s="2">
        <v>234.5</v>
      </c>
      <c r="C2067" s="2">
        <v>8.7</v>
      </c>
      <c r="D2067" s="2">
        <v>2.75</v>
      </c>
      <c r="E2067" s="2">
        <v>0.13</v>
      </c>
      <c r="F2067" s="2">
        <v>49.9</v>
      </c>
      <c r="G2067" s="4">
        <v>44460.99598864584</v>
      </c>
      <c r="H2067" s="8">
        <v>44460.0</v>
      </c>
    </row>
    <row r="2068">
      <c r="A2068" s="2">
        <v>0.31</v>
      </c>
      <c r="B2068" s="2">
        <v>234.5</v>
      </c>
      <c r="C2068" s="2">
        <v>13.8</v>
      </c>
      <c r="D2068" s="2">
        <v>2.75</v>
      </c>
      <c r="E2068" s="2">
        <v>0.19</v>
      </c>
      <c r="F2068" s="2">
        <v>49.9</v>
      </c>
      <c r="G2068" s="4">
        <v>44460.996092754634</v>
      </c>
      <c r="H2068" s="8">
        <v>44460.0</v>
      </c>
    </row>
    <row r="2069">
      <c r="A2069" s="2">
        <v>0.28</v>
      </c>
      <c r="B2069" s="2">
        <v>234.4</v>
      </c>
      <c r="C2069" s="2">
        <v>8.9</v>
      </c>
      <c r="D2069" s="2">
        <v>2.75</v>
      </c>
      <c r="E2069" s="2">
        <v>0.13</v>
      </c>
      <c r="F2069" s="2">
        <v>49.9</v>
      </c>
      <c r="G2069" s="4">
        <v>44460.99619583333</v>
      </c>
      <c r="H2069" s="8">
        <v>44460.0</v>
      </c>
    </row>
    <row r="2070">
      <c r="A2070" s="2">
        <v>0.29</v>
      </c>
      <c r="B2070" s="2">
        <v>234.6</v>
      </c>
      <c r="C2070" s="2">
        <v>9.4</v>
      </c>
      <c r="D2070" s="2">
        <v>2.75</v>
      </c>
      <c r="E2070" s="2">
        <v>0.14</v>
      </c>
      <c r="F2070" s="2">
        <v>49.9</v>
      </c>
      <c r="G2070" s="4">
        <v>44460.99629206018</v>
      </c>
      <c r="H2070" s="8">
        <v>44460.0</v>
      </c>
    </row>
    <row r="2071">
      <c r="A2071" s="2">
        <v>0.3</v>
      </c>
      <c r="B2071" s="2">
        <v>234.5</v>
      </c>
      <c r="C2071" s="2">
        <v>13.3</v>
      </c>
      <c r="D2071" s="2">
        <v>2.75</v>
      </c>
      <c r="E2071" s="2">
        <v>0.19</v>
      </c>
      <c r="F2071" s="2">
        <v>50.0</v>
      </c>
      <c r="G2071" s="4">
        <v>44460.9963937963</v>
      </c>
      <c r="H2071" s="8">
        <v>44460.0</v>
      </c>
    </row>
    <row r="2072">
      <c r="A2072" s="2">
        <v>0.28</v>
      </c>
      <c r="B2072" s="2">
        <v>234.4</v>
      </c>
      <c r="C2072" s="2">
        <v>7.8</v>
      </c>
      <c r="D2072" s="2">
        <v>2.75</v>
      </c>
      <c r="E2072" s="2">
        <v>0.12</v>
      </c>
      <c r="F2072" s="2">
        <v>50.0</v>
      </c>
      <c r="G2072" s="4">
        <v>44460.99649917824</v>
      </c>
      <c r="H2072" s="8">
        <v>44460.0</v>
      </c>
    </row>
    <row r="2073">
      <c r="A2073" s="2">
        <v>0.28</v>
      </c>
      <c r="B2073" s="2">
        <v>234.5</v>
      </c>
      <c r="C2073" s="2">
        <v>7.6</v>
      </c>
      <c r="D2073" s="2">
        <v>2.75</v>
      </c>
      <c r="E2073" s="2">
        <v>0.12</v>
      </c>
      <c r="F2073" s="2">
        <v>50.0</v>
      </c>
      <c r="G2073" s="4">
        <v>44460.99659483796</v>
      </c>
      <c r="H2073" s="8">
        <v>44460.0</v>
      </c>
    </row>
    <row r="2074">
      <c r="A2074" s="2">
        <v>0.32</v>
      </c>
      <c r="B2074" s="2">
        <v>234.6</v>
      </c>
      <c r="C2074" s="2">
        <v>16.1</v>
      </c>
      <c r="D2074" s="2">
        <v>2.75</v>
      </c>
      <c r="E2074" s="2">
        <v>0.22</v>
      </c>
      <c r="F2074" s="2">
        <v>50.0</v>
      </c>
      <c r="G2074" s="4">
        <v>44460.99669064815</v>
      </c>
      <c r="H2074" s="8">
        <v>44460.0</v>
      </c>
    </row>
    <row r="2075">
      <c r="A2075" s="2">
        <v>0.31</v>
      </c>
      <c r="B2075" s="2">
        <v>234.6</v>
      </c>
      <c r="C2075" s="2">
        <v>18.0</v>
      </c>
      <c r="D2075" s="2">
        <v>2.75</v>
      </c>
      <c r="E2075" s="2">
        <v>0.24</v>
      </c>
      <c r="F2075" s="2">
        <v>50.0</v>
      </c>
      <c r="G2075" s="4">
        <v>44460.99678944444</v>
      </c>
      <c r="H2075" s="8">
        <v>44460.0</v>
      </c>
    </row>
    <row r="2076">
      <c r="A2076" s="2">
        <v>0.28</v>
      </c>
      <c r="B2076" s="2">
        <v>234.5</v>
      </c>
      <c r="C2076" s="2">
        <v>8.4</v>
      </c>
      <c r="D2076" s="2">
        <v>2.75</v>
      </c>
      <c r="E2076" s="2">
        <v>0.13</v>
      </c>
      <c r="F2076" s="2">
        <v>50.0</v>
      </c>
      <c r="G2076" s="4">
        <v>44460.99688767361</v>
      </c>
      <c r="H2076" s="8">
        <v>44460.0</v>
      </c>
    </row>
    <row r="2077">
      <c r="A2077" s="2">
        <v>0.31</v>
      </c>
      <c r="B2077" s="2">
        <v>234.5</v>
      </c>
      <c r="C2077" s="2">
        <v>13.2</v>
      </c>
      <c r="D2077" s="2">
        <v>2.75</v>
      </c>
      <c r="E2077" s="2">
        <v>0.18</v>
      </c>
      <c r="F2077" s="2">
        <v>50.0</v>
      </c>
      <c r="G2077" s="4">
        <v>44460.99698668982</v>
      </c>
      <c r="H2077" s="8">
        <v>44460.0</v>
      </c>
    </row>
    <row r="2078">
      <c r="A2078" s="2">
        <v>0.3</v>
      </c>
      <c r="B2078" s="2">
        <v>234.5</v>
      </c>
      <c r="C2078" s="2">
        <v>12.2</v>
      </c>
      <c r="D2078" s="2">
        <v>2.75</v>
      </c>
      <c r="E2078" s="2">
        <v>0.17</v>
      </c>
      <c r="F2078" s="2">
        <v>50.0</v>
      </c>
      <c r="G2078" s="4">
        <v>44460.99708444445</v>
      </c>
      <c r="H2078" s="8">
        <v>44460.0</v>
      </c>
    </row>
    <row r="2079">
      <c r="A2079" s="2">
        <v>0.3</v>
      </c>
      <c r="B2079" s="2">
        <v>234.6</v>
      </c>
      <c r="C2079" s="2">
        <v>14.1</v>
      </c>
      <c r="D2079" s="2">
        <v>2.75</v>
      </c>
      <c r="E2079" s="2">
        <v>0.2</v>
      </c>
      <c r="F2079" s="2">
        <v>50.0</v>
      </c>
      <c r="G2079" s="4">
        <v>44460.997182430554</v>
      </c>
      <c r="H2079" s="8">
        <v>44460.0</v>
      </c>
    </row>
    <row r="2080">
      <c r="A2080" s="2">
        <v>0.32</v>
      </c>
      <c r="B2080" s="2">
        <v>234.7</v>
      </c>
      <c r="C2080" s="2">
        <v>19.1</v>
      </c>
      <c r="D2080" s="2">
        <v>2.75</v>
      </c>
      <c r="E2080" s="2">
        <v>0.25</v>
      </c>
      <c r="F2080" s="2">
        <v>50.0</v>
      </c>
      <c r="G2080" s="4">
        <v>44460.997278553245</v>
      </c>
      <c r="H2080" s="8">
        <v>44460.0</v>
      </c>
    </row>
    <row r="2081">
      <c r="A2081" s="2">
        <v>0.3</v>
      </c>
      <c r="B2081" s="2">
        <v>234.6</v>
      </c>
      <c r="C2081" s="2">
        <v>14.2</v>
      </c>
      <c r="D2081" s="2">
        <v>2.75</v>
      </c>
      <c r="E2081" s="2">
        <v>0.2</v>
      </c>
      <c r="F2081" s="2">
        <v>50.0</v>
      </c>
      <c r="G2081" s="4">
        <v>44460.99737994213</v>
      </c>
      <c r="H2081" s="8">
        <v>44460.0</v>
      </c>
    </row>
    <row r="2082">
      <c r="A2082" s="2">
        <v>0.28</v>
      </c>
      <c r="B2082" s="2">
        <v>234.6</v>
      </c>
      <c r="C2082" s="2">
        <v>7.9</v>
      </c>
      <c r="D2082" s="2">
        <v>2.75</v>
      </c>
      <c r="E2082" s="2">
        <v>0.12</v>
      </c>
      <c r="F2082" s="2">
        <v>49.9</v>
      </c>
      <c r="G2082" s="4">
        <v>44460.997477083336</v>
      </c>
      <c r="H2082" s="8">
        <v>44460.0</v>
      </c>
    </row>
    <row r="2083">
      <c r="A2083" s="2">
        <v>0.28</v>
      </c>
      <c r="B2083" s="2">
        <v>234.7</v>
      </c>
      <c r="C2083" s="2">
        <v>7.9</v>
      </c>
      <c r="D2083" s="2">
        <v>2.75</v>
      </c>
      <c r="E2083" s="2">
        <v>0.12</v>
      </c>
      <c r="F2083" s="2">
        <v>50.0</v>
      </c>
      <c r="G2083" s="4">
        <v>44460.99757763889</v>
      </c>
      <c r="H2083" s="8">
        <v>44460.0</v>
      </c>
    </row>
    <row r="2084">
      <c r="A2084" s="2">
        <v>0.29</v>
      </c>
      <c r="B2084" s="2">
        <v>234.6</v>
      </c>
      <c r="C2084" s="2">
        <v>11.4</v>
      </c>
      <c r="D2084" s="2">
        <v>2.75</v>
      </c>
      <c r="E2084" s="2">
        <v>0.17</v>
      </c>
      <c r="F2084" s="2">
        <v>50.0</v>
      </c>
      <c r="G2084" s="4">
        <v>44460.997687916664</v>
      </c>
      <c r="H2084" s="8">
        <v>44460.0</v>
      </c>
    </row>
    <row r="2085">
      <c r="A2085" s="2">
        <v>0.28</v>
      </c>
      <c r="B2085" s="2">
        <v>234.5</v>
      </c>
      <c r="C2085" s="2">
        <v>10.1</v>
      </c>
      <c r="D2085" s="2">
        <v>2.75</v>
      </c>
      <c r="E2085" s="2">
        <v>0.15</v>
      </c>
      <c r="F2085" s="2">
        <v>50.0</v>
      </c>
      <c r="G2085" s="4">
        <v>44460.99778974537</v>
      </c>
      <c r="H2085" s="8">
        <v>44460.0</v>
      </c>
    </row>
    <row r="2086">
      <c r="A2086" s="2">
        <v>0.3</v>
      </c>
      <c r="B2086" s="2">
        <v>234.5</v>
      </c>
      <c r="C2086" s="2">
        <v>11.4</v>
      </c>
      <c r="D2086" s="2">
        <v>2.75</v>
      </c>
      <c r="E2086" s="2">
        <v>0.16</v>
      </c>
      <c r="F2086" s="2">
        <v>50.0</v>
      </c>
      <c r="G2086" s="4">
        <v>44460.99789493055</v>
      </c>
      <c r="H2086" s="8">
        <v>44460.0</v>
      </c>
    </row>
    <row r="2087">
      <c r="A2087" s="2">
        <v>0.31</v>
      </c>
      <c r="B2087" s="2">
        <v>234.5</v>
      </c>
      <c r="C2087" s="2">
        <v>15.2</v>
      </c>
      <c r="D2087" s="2">
        <v>2.75</v>
      </c>
      <c r="E2087" s="2">
        <v>0.21</v>
      </c>
      <c r="F2087" s="2">
        <v>50.0</v>
      </c>
      <c r="G2087" s="4">
        <v>44460.9979972338</v>
      </c>
      <c r="H2087" s="8">
        <v>44460.0</v>
      </c>
    </row>
    <row r="2088">
      <c r="A2088" s="2">
        <v>0.31</v>
      </c>
      <c r="B2088" s="2">
        <v>234.5</v>
      </c>
      <c r="C2088" s="2">
        <v>13.1</v>
      </c>
      <c r="D2088" s="2">
        <v>2.75</v>
      </c>
      <c r="E2088" s="2">
        <v>0.18</v>
      </c>
      <c r="F2088" s="2">
        <v>50.0</v>
      </c>
      <c r="G2088" s="4">
        <v>44460.99809503472</v>
      </c>
      <c r="H2088" s="8">
        <v>44460.0</v>
      </c>
    </row>
    <row r="2089">
      <c r="A2089" s="2">
        <v>0.32</v>
      </c>
      <c r="B2089" s="2">
        <v>234.4</v>
      </c>
      <c r="C2089" s="2">
        <v>18.3</v>
      </c>
      <c r="D2089" s="2">
        <v>2.75</v>
      </c>
      <c r="E2089" s="2">
        <v>0.24</v>
      </c>
      <c r="F2089" s="2">
        <v>50.0</v>
      </c>
      <c r="G2089" s="4">
        <v>44460.998200682865</v>
      </c>
      <c r="H2089" s="8">
        <v>44460.0</v>
      </c>
    </row>
    <row r="2090">
      <c r="A2090" s="2">
        <v>0.29</v>
      </c>
      <c r="B2090" s="2">
        <v>234.3</v>
      </c>
      <c r="C2090" s="2">
        <v>10.7</v>
      </c>
      <c r="D2090" s="2">
        <v>2.75</v>
      </c>
      <c r="E2090" s="2">
        <v>0.16</v>
      </c>
      <c r="F2090" s="2">
        <v>50.0</v>
      </c>
      <c r="G2090" s="4">
        <v>44460.99829929398</v>
      </c>
      <c r="H2090" s="8">
        <v>44460.0</v>
      </c>
    </row>
    <row r="2091">
      <c r="A2091" s="2">
        <v>0.28</v>
      </c>
      <c r="B2091" s="2">
        <v>234.2</v>
      </c>
      <c r="C2091" s="2">
        <v>8.6</v>
      </c>
      <c r="D2091" s="2">
        <v>2.75</v>
      </c>
      <c r="E2091" s="2">
        <v>0.13</v>
      </c>
      <c r="F2091" s="2">
        <v>49.9</v>
      </c>
      <c r="G2091" s="4">
        <v>44460.998417511575</v>
      </c>
      <c r="H2091" s="8">
        <v>44460.0</v>
      </c>
    </row>
    <row r="2092">
      <c r="A2092" s="2">
        <v>0.32</v>
      </c>
      <c r="B2092" s="2">
        <v>234.1</v>
      </c>
      <c r="C2092" s="2">
        <v>16.9</v>
      </c>
      <c r="D2092" s="2">
        <v>2.76</v>
      </c>
      <c r="E2092" s="2">
        <v>0.23</v>
      </c>
      <c r="F2092" s="2">
        <v>49.9</v>
      </c>
      <c r="G2092" s="4">
        <v>44460.998529756944</v>
      </c>
      <c r="H2092" s="8">
        <v>44460.0</v>
      </c>
    </row>
    <row r="2093">
      <c r="A2093" s="2">
        <v>0.28</v>
      </c>
      <c r="B2093" s="2">
        <v>234.1</v>
      </c>
      <c r="C2093" s="2">
        <v>8.5</v>
      </c>
      <c r="D2093" s="2">
        <v>2.76</v>
      </c>
      <c r="E2093" s="2">
        <v>0.13</v>
      </c>
      <c r="F2093" s="2">
        <v>49.9</v>
      </c>
      <c r="G2093" s="4">
        <v>44460.99864277778</v>
      </c>
      <c r="H2093" s="8">
        <v>44460.0</v>
      </c>
    </row>
    <row r="2094">
      <c r="A2094" s="2">
        <v>0.29</v>
      </c>
      <c r="B2094" s="2">
        <v>234.0</v>
      </c>
      <c r="C2094" s="2">
        <v>9.0</v>
      </c>
      <c r="D2094" s="2">
        <v>2.76</v>
      </c>
      <c r="E2094" s="2">
        <v>0.13</v>
      </c>
      <c r="F2094" s="2">
        <v>49.9</v>
      </c>
      <c r="G2094" s="4">
        <v>44460.998743275464</v>
      </c>
      <c r="H2094" s="8">
        <v>44460.0</v>
      </c>
    </row>
    <row r="2095">
      <c r="A2095" s="2">
        <v>0.31</v>
      </c>
      <c r="B2095" s="2">
        <v>234.1</v>
      </c>
      <c r="C2095" s="2">
        <v>13.9</v>
      </c>
      <c r="D2095" s="2">
        <v>2.76</v>
      </c>
      <c r="E2095" s="2">
        <v>0.19</v>
      </c>
      <c r="F2095" s="2">
        <v>49.9</v>
      </c>
      <c r="G2095" s="4">
        <v>44460.99883761574</v>
      </c>
      <c r="H2095" s="8">
        <v>44460.0</v>
      </c>
    </row>
    <row r="2096">
      <c r="A2096" s="2">
        <v>0.29</v>
      </c>
      <c r="B2096" s="2">
        <v>234.2</v>
      </c>
      <c r="C2096" s="2">
        <v>9.4</v>
      </c>
      <c r="D2096" s="2">
        <v>2.76</v>
      </c>
      <c r="E2096" s="2">
        <v>0.14</v>
      </c>
      <c r="F2096" s="2">
        <v>49.9</v>
      </c>
      <c r="G2096" s="4">
        <v>44460.9989434375</v>
      </c>
      <c r="H2096" s="8">
        <v>44460.0</v>
      </c>
    </row>
    <row r="2097">
      <c r="A2097" s="2">
        <v>0.31</v>
      </c>
      <c r="B2097" s="2">
        <v>234.1</v>
      </c>
      <c r="C2097" s="2">
        <v>13.0</v>
      </c>
      <c r="D2097" s="2">
        <v>2.76</v>
      </c>
      <c r="E2097" s="2">
        <v>0.18</v>
      </c>
      <c r="F2097" s="2">
        <v>49.9</v>
      </c>
      <c r="G2097" s="4">
        <v>44460.99904070602</v>
      </c>
      <c r="H2097" s="8">
        <v>44460.0</v>
      </c>
    </row>
    <row r="2098">
      <c r="A2098" s="2">
        <v>0.33</v>
      </c>
      <c r="B2098" s="2">
        <v>234.2</v>
      </c>
      <c r="C2098" s="2">
        <v>18.7</v>
      </c>
      <c r="D2098" s="2">
        <v>2.76</v>
      </c>
      <c r="E2098" s="2">
        <v>0.24</v>
      </c>
      <c r="F2098" s="2">
        <v>49.9</v>
      </c>
      <c r="G2098" s="4">
        <v>44460.99914443287</v>
      </c>
      <c r="H2098" s="8">
        <v>44460.0</v>
      </c>
    </row>
    <row r="2099">
      <c r="A2099" s="2">
        <v>0.28</v>
      </c>
      <c r="B2099" s="2">
        <v>234.2</v>
      </c>
      <c r="C2099" s="2">
        <v>8.8</v>
      </c>
      <c r="D2099" s="2">
        <v>2.76</v>
      </c>
      <c r="E2099" s="2">
        <v>0.13</v>
      </c>
      <c r="F2099" s="2">
        <v>50.0</v>
      </c>
      <c r="G2099" s="4">
        <v>44460.999250347224</v>
      </c>
      <c r="H2099" s="8">
        <v>44460.0</v>
      </c>
    </row>
    <row r="2100">
      <c r="A2100" s="2">
        <v>0.28</v>
      </c>
      <c r="B2100" s="2">
        <v>234.3</v>
      </c>
      <c r="C2100" s="2">
        <v>8.0</v>
      </c>
      <c r="D2100" s="2">
        <v>2.76</v>
      </c>
      <c r="E2100" s="2">
        <v>0.12</v>
      </c>
      <c r="F2100" s="2">
        <v>50.0</v>
      </c>
      <c r="G2100" s="4">
        <v>44460.99934956018</v>
      </c>
      <c r="H2100" s="8">
        <v>44460.0</v>
      </c>
    </row>
    <row r="2101">
      <c r="A2101" s="2">
        <v>0.28</v>
      </c>
      <c r="B2101" s="2">
        <v>234.2</v>
      </c>
      <c r="C2101" s="2">
        <v>8.2</v>
      </c>
      <c r="D2101" s="2">
        <v>2.76</v>
      </c>
      <c r="E2101" s="2">
        <v>0.12</v>
      </c>
      <c r="F2101" s="2">
        <v>50.0</v>
      </c>
      <c r="G2101" s="4">
        <v>44460.99945454861</v>
      </c>
      <c r="H2101" s="8">
        <v>44460.0</v>
      </c>
    </row>
    <row r="2102">
      <c r="A2102" s="2">
        <v>0.28</v>
      </c>
      <c r="B2102" s="2">
        <v>234.2</v>
      </c>
      <c r="C2102" s="2">
        <v>7.9</v>
      </c>
      <c r="D2102" s="2">
        <v>2.76</v>
      </c>
      <c r="E2102" s="2">
        <v>0.12</v>
      </c>
      <c r="F2102" s="2">
        <v>50.0</v>
      </c>
      <c r="G2102" s="4">
        <v>44460.99955810185</v>
      </c>
      <c r="H2102" s="8">
        <v>44460.0</v>
      </c>
    </row>
    <row r="2103">
      <c r="A2103" s="2">
        <v>0.28</v>
      </c>
      <c r="B2103" s="2">
        <v>234.2</v>
      </c>
      <c r="C2103" s="2">
        <v>7.6</v>
      </c>
      <c r="D2103" s="2">
        <v>2.76</v>
      </c>
      <c r="E2103" s="2">
        <v>0.12</v>
      </c>
      <c r="F2103" s="2">
        <v>50.0</v>
      </c>
      <c r="G2103" s="4">
        <v>44460.999661875</v>
      </c>
      <c r="H2103" s="8">
        <v>44460.0</v>
      </c>
    </row>
    <row r="2104">
      <c r="A2104" s="2">
        <v>0.31</v>
      </c>
      <c r="B2104" s="2">
        <v>234.2</v>
      </c>
      <c r="C2104" s="2">
        <v>13.0</v>
      </c>
      <c r="D2104" s="2">
        <v>2.76</v>
      </c>
      <c r="E2104" s="2">
        <v>0.18</v>
      </c>
      <c r="F2104" s="2">
        <v>50.0</v>
      </c>
      <c r="G2104" s="4">
        <v>44460.9997640625</v>
      </c>
      <c r="H2104" s="8">
        <v>44460.0</v>
      </c>
    </row>
    <row r="2105">
      <c r="A2105" s="2">
        <v>0.33</v>
      </c>
      <c r="B2105" s="2">
        <v>234.2</v>
      </c>
      <c r="C2105" s="2">
        <v>18.6</v>
      </c>
      <c r="D2105" s="2">
        <v>2.76</v>
      </c>
      <c r="E2105" s="2">
        <v>0.24</v>
      </c>
      <c r="F2105" s="2">
        <v>50.0</v>
      </c>
      <c r="G2105" s="4">
        <v>44460.999863495366</v>
      </c>
      <c r="H2105" s="8">
        <v>44460.0</v>
      </c>
    </row>
    <row r="2106">
      <c r="A2106" s="2">
        <v>0.32</v>
      </c>
      <c r="B2106" s="2">
        <v>234.3</v>
      </c>
      <c r="C2106" s="2">
        <v>18.0</v>
      </c>
      <c r="D2106" s="2">
        <v>2.76</v>
      </c>
      <c r="E2106" s="2">
        <v>0.24</v>
      </c>
      <c r="F2106" s="2">
        <v>50.0</v>
      </c>
      <c r="G2106" s="4">
        <v>44460.99996417824</v>
      </c>
      <c r="H2106" s="8">
        <v>44460.0</v>
      </c>
    </row>
    <row r="2107">
      <c r="A2107" s="2">
        <v>0.3</v>
      </c>
      <c r="B2107" s="2">
        <v>234.3</v>
      </c>
      <c r="C2107" s="2">
        <v>12.2</v>
      </c>
      <c r="D2107" s="2">
        <v>2.76</v>
      </c>
      <c r="E2107" s="2">
        <v>0.17</v>
      </c>
      <c r="F2107" s="2">
        <v>50.0</v>
      </c>
      <c r="G2107" s="4">
        <v>44461.00006038195</v>
      </c>
      <c r="H2107" s="8">
        <v>44461.0</v>
      </c>
    </row>
    <row r="2108">
      <c r="A2108" s="2">
        <v>0.29</v>
      </c>
      <c r="B2108" s="2">
        <v>234.3</v>
      </c>
      <c r="C2108" s="2">
        <v>9.8</v>
      </c>
      <c r="D2108" s="2">
        <v>2.76</v>
      </c>
      <c r="E2108" s="2">
        <v>0.14</v>
      </c>
      <c r="F2108" s="2">
        <v>50.0</v>
      </c>
      <c r="G2108" s="4">
        <v>44461.00015663194</v>
      </c>
      <c r="H2108" s="8">
        <v>44461.0</v>
      </c>
    </row>
    <row r="2109">
      <c r="A2109" s="2">
        <v>0.29</v>
      </c>
      <c r="B2109" s="2">
        <v>234.2</v>
      </c>
      <c r="C2109" s="2">
        <v>8.6</v>
      </c>
      <c r="D2109" s="2">
        <v>2.76</v>
      </c>
      <c r="E2109" s="2">
        <v>0.13</v>
      </c>
      <c r="F2109" s="2">
        <v>50.0</v>
      </c>
      <c r="G2109" s="4">
        <v>44461.00025347222</v>
      </c>
      <c r="H2109" s="8">
        <v>44461.0</v>
      </c>
    </row>
    <row r="2110">
      <c r="A2110" s="2">
        <v>0.3</v>
      </c>
      <c r="B2110" s="2">
        <v>234.2</v>
      </c>
      <c r="C2110" s="2">
        <v>12.0</v>
      </c>
      <c r="D2110" s="2">
        <v>2.76</v>
      </c>
      <c r="E2110" s="2">
        <v>0.17</v>
      </c>
      <c r="F2110" s="2">
        <v>50.0</v>
      </c>
      <c r="G2110" s="4">
        <v>44461.000351215276</v>
      </c>
      <c r="H2110" s="8">
        <v>44461.0</v>
      </c>
    </row>
    <row r="2111">
      <c r="A2111" s="2">
        <v>0.32</v>
      </c>
      <c r="B2111" s="2">
        <v>234.2</v>
      </c>
      <c r="C2111" s="2">
        <v>17.8</v>
      </c>
      <c r="D2111" s="2">
        <v>2.76</v>
      </c>
      <c r="E2111" s="2">
        <v>0.23</v>
      </c>
      <c r="F2111" s="2">
        <v>50.0</v>
      </c>
      <c r="G2111" s="4">
        <v>44461.000450590276</v>
      </c>
      <c r="H2111" s="8">
        <v>44461.0</v>
      </c>
    </row>
    <row r="2112">
      <c r="A2112" s="2">
        <v>0.28</v>
      </c>
      <c r="B2112" s="2">
        <v>234.3</v>
      </c>
      <c r="C2112" s="2">
        <v>7.7</v>
      </c>
      <c r="D2112" s="2">
        <v>2.76</v>
      </c>
      <c r="E2112" s="2">
        <v>0.12</v>
      </c>
      <c r="F2112" s="2">
        <v>50.0</v>
      </c>
      <c r="G2112" s="4">
        <v>44461.00054795139</v>
      </c>
      <c r="H2112" s="8">
        <v>44461.0</v>
      </c>
    </row>
    <row r="2113">
      <c r="A2113" s="2">
        <v>0.28</v>
      </c>
      <c r="B2113" s="2">
        <v>234.3</v>
      </c>
      <c r="C2113" s="2">
        <v>8.0</v>
      </c>
      <c r="D2113" s="2">
        <v>2.76</v>
      </c>
      <c r="E2113" s="2">
        <v>0.12</v>
      </c>
      <c r="F2113" s="2">
        <v>49.9</v>
      </c>
      <c r="G2113" s="4">
        <v>44461.00064888889</v>
      </c>
      <c r="H2113" s="8">
        <v>44461.0</v>
      </c>
    </row>
    <row r="2114">
      <c r="A2114" s="2">
        <v>0.28</v>
      </c>
      <c r="B2114" s="2">
        <v>234.2</v>
      </c>
      <c r="C2114" s="2">
        <v>7.6</v>
      </c>
      <c r="D2114" s="2">
        <v>2.76</v>
      </c>
      <c r="E2114" s="2">
        <v>0.12</v>
      </c>
      <c r="F2114" s="2">
        <v>49.9</v>
      </c>
      <c r="G2114" s="4">
        <v>44461.00075369213</v>
      </c>
      <c r="H2114" s="8">
        <v>44461.0</v>
      </c>
    </row>
    <row r="2115">
      <c r="A2115" s="2">
        <v>0.28</v>
      </c>
      <c r="B2115" s="2">
        <v>232.7</v>
      </c>
      <c r="C2115" s="2">
        <v>7.9</v>
      </c>
      <c r="D2115" s="2">
        <v>2.76</v>
      </c>
      <c r="E2115" s="2">
        <v>0.12</v>
      </c>
      <c r="F2115" s="2">
        <v>49.9</v>
      </c>
      <c r="G2115" s="4">
        <v>44461.000849421296</v>
      </c>
      <c r="H2115" s="8">
        <v>44461.0</v>
      </c>
    </row>
    <row r="2116">
      <c r="A2116" s="2">
        <v>0.28</v>
      </c>
      <c r="B2116" s="2">
        <v>232.7</v>
      </c>
      <c r="C2116" s="2">
        <v>9.0</v>
      </c>
      <c r="D2116" s="2">
        <v>2.76</v>
      </c>
      <c r="E2116" s="2">
        <v>0.14</v>
      </c>
      <c r="F2116" s="2">
        <v>49.9</v>
      </c>
      <c r="G2116" s="4">
        <v>44461.00095418982</v>
      </c>
      <c r="H2116" s="8">
        <v>44461.0</v>
      </c>
    </row>
    <row r="2117">
      <c r="A2117" s="2">
        <v>0.28</v>
      </c>
      <c r="B2117" s="2">
        <v>232.7</v>
      </c>
      <c r="C2117" s="2">
        <v>8.8</v>
      </c>
      <c r="D2117" s="2">
        <v>2.76</v>
      </c>
      <c r="E2117" s="2">
        <v>0.13</v>
      </c>
      <c r="F2117" s="2">
        <v>49.9</v>
      </c>
      <c r="G2117" s="4">
        <v>44461.001058657406</v>
      </c>
      <c r="H2117" s="8">
        <v>44461.0</v>
      </c>
    </row>
    <row r="2118">
      <c r="A2118" s="2">
        <v>0.28</v>
      </c>
      <c r="B2118" s="2">
        <v>232.8</v>
      </c>
      <c r="C2118" s="2">
        <v>7.7</v>
      </c>
      <c r="D2118" s="2">
        <v>2.76</v>
      </c>
      <c r="E2118" s="2">
        <v>0.12</v>
      </c>
      <c r="F2118" s="2">
        <v>49.9</v>
      </c>
      <c r="G2118" s="4">
        <v>44461.00115924768</v>
      </c>
      <c r="H2118" s="8">
        <v>44461.0</v>
      </c>
    </row>
    <row r="2119">
      <c r="A2119" s="2">
        <v>0.28</v>
      </c>
      <c r="B2119" s="2">
        <v>232.8</v>
      </c>
      <c r="C2119" s="2">
        <v>8.5</v>
      </c>
      <c r="D2119" s="2">
        <v>2.76</v>
      </c>
      <c r="E2119" s="2">
        <v>0.13</v>
      </c>
      <c r="F2119" s="2">
        <v>49.9</v>
      </c>
      <c r="G2119" s="4">
        <v>44461.0012599537</v>
      </c>
      <c r="H2119" s="8">
        <v>44461.0</v>
      </c>
    </row>
    <row r="2120">
      <c r="A2120" s="2">
        <v>0.28</v>
      </c>
      <c r="B2120" s="2">
        <v>232.8</v>
      </c>
      <c r="C2120" s="2">
        <v>7.8</v>
      </c>
      <c r="D2120" s="2">
        <v>2.76</v>
      </c>
      <c r="E2120" s="2">
        <v>0.12</v>
      </c>
      <c r="F2120" s="2">
        <v>50.0</v>
      </c>
      <c r="G2120" s="4">
        <v>44461.001361400464</v>
      </c>
      <c r="H2120" s="8">
        <v>44461.0</v>
      </c>
    </row>
    <row r="2121">
      <c r="A2121" s="2">
        <v>0.28</v>
      </c>
      <c r="B2121" s="2">
        <v>232.8</v>
      </c>
      <c r="C2121" s="2">
        <v>8.6</v>
      </c>
      <c r="D2121" s="2">
        <v>2.76</v>
      </c>
      <c r="E2121" s="2">
        <v>0.13</v>
      </c>
      <c r="F2121" s="2">
        <v>50.0</v>
      </c>
      <c r="G2121" s="4">
        <v>44461.00146260417</v>
      </c>
      <c r="H2121" s="8">
        <v>44461.0</v>
      </c>
    </row>
    <row r="2122">
      <c r="A2122" s="2">
        <v>0.28</v>
      </c>
      <c r="B2122" s="2">
        <v>232.9</v>
      </c>
      <c r="C2122" s="2">
        <v>10.0</v>
      </c>
      <c r="D2122" s="2">
        <v>2.76</v>
      </c>
      <c r="E2122" s="2">
        <v>0.15</v>
      </c>
      <c r="F2122" s="2">
        <v>50.0</v>
      </c>
      <c r="G2122" s="4">
        <v>44461.00155922453</v>
      </c>
      <c r="H2122" s="8">
        <v>44461.0</v>
      </c>
    </row>
    <row r="2123">
      <c r="A2123" s="2">
        <v>0.28</v>
      </c>
      <c r="B2123" s="2">
        <v>232.9</v>
      </c>
      <c r="C2123" s="2">
        <v>8.5</v>
      </c>
      <c r="D2123" s="2">
        <v>2.76</v>
      </c>
      <c r="E2123" s="2">
        <v>0.13</v>
      </c>
      <c r="F2123" s="2">
        <v>50.0</v>
      </c>
      <c r="G2123" s="4">
        <v>44461.001653750005</v>
      </c>
      <c r="H2123" s="8">
        <v>44461.0</v>
      </c>
    </row>
    <row r="2124">
      <c r="A2124" s="2">
        <v>0.32</v>
      </c>
      <c r="B2124" s="2">
        <v>233.2</v>
      </c>
      <c r="C2124" s="2">
        <v>18.9</v>
      </c>
      <c r="D2124" s="2">
        <v>2.76</v>
      </c>
      <c r="E2124" s="2">
        <v>0.25</v>
      </c>
      <c r="F2124" s="2">
        <v>50.0</v>
      </c>
      <c r="G2124" s="4">
        <v>44461.00175255787</v>
      </c>
      <c r="H2124" s="8">
        <v>44461.0</v>
      </c>
    </row>
    <row r="2125">
      <c r="A2125" s="2">
        <v>0.32</v>
      </c>
      <c r="B2125" s="2">
        <v>233.2</v>
      </c>
      <c r="C2125" s="2">
        <v>15.7</v>
      </c>
      <c r="D2125" s="2">
        <v>2.76</v>
      </c>
      <c r="E2125" s="2">
        <v>0.21</v>
      </c>
      <c r="F2125" s="2">
        <v>50.0</v>
      </c>
      <c r="G2125" s="4">
        <v>44461.001851215275</v>
      </c>
      <c r="H2125" s="8">
        <v>44461.0</v>
      </c>
    </row>
    <row r="2126">
      <c r="A2126" s="2">
        <v>0.3</v>
      </c>
      <c r="B2126" s="2">
        <v>233.3</v>
      </c>
      <c r="C2126" s="2">
        <v>10.7</v>
      </c>
      <c r="D2126" s="2">
        <v>2.76</v>
      </c>
      <c r="E2126" s="2">
        <v>0.15</v>
      </c>
      <c r="F2126" s="2">
        <v>50.0</v>
      </c>
      <c r="G2126" s="4">
        <v>44461.00195579861</v>
      </c>
      <c r="H2126" s="8">
        <v>44461.0</v>
      </c>
    </row>
    <row r="2127">
      <c r="A2127" s="2">
        <v>0.28</v>
      </c>
      <c r="B2127" s="2">
        <v>233.3</v>
      </c>
      <c r="C2127" s="2">
        <v>7.8</v>
      </c>
      <c r="D2127" s="2">
        <v>2.76</v>
      </c>
      <c r="E2127" s="2">
        <v>0.12</v>
      </c>
      <c r="F2127" s="2">
        <v>50.0</v>
      </c>
      <c r="G2127" s="4">
        <v>44461.002061238425</v>
      </c>
      <c r="H2127" s="8">
        <v>44461.0</v>
      </c>
    </row>
    <row r="2128">
      <c r="A2128" s="2">
        <v>0.28</v>
      </c>
      <c r="B2128" s="2">
        <v>233.2</v>
      </c>
      <c r="C2128" s="2">
        <v>8.7</v>
      </c>
      <c r="D2128" s="2">
        <v>2.76</v>
      </c>
      <c r="E2128" s="2">
        <v>0.13</v>
      </c>
      <c r="F2128" s="2">
        <v>50.0</v>
      </c>
      <c r="G2128" s="4">
        <v>44461.0021640625</v>
      </c>
      <c r="H2128" s="8">
        <v>44461.0</v>
      </c>
    </row>
    <row r="2129">
      <c r="A2129" s="2">
        <v>0.28</v>
      </c>
      <c r="B2129" s="2">
        <v>233.5</v>
      </c>
      <c r="C2129" s="2">
        <v>7.6</v>
      </c>
      <c r="D2129" s="2">
        <v>2.76</v>
      </c>
      <c r="E2129" s="2">
        <v>0.12</v>
      </c>
      <c r="F2129" s="2">
        <v>50.0</v>
      </c>
      <c r="G2129" s="4">
        <v>44461.00226947917</v>
      </c>
      <c r="H2129" s="8">
        <v>44461.0</v>
      </c>
    </row>
    <row r="2130">
      <c r="A2130" s="2">
        <v>0.28</v>
      </c>
      <c r="B2130" s="2">
        <v>233.4</v>
      </c>
      <c r="C2130" s="2">
        <v>8.8</v>
      </c>
      <c r="D2130" s="2">
        <v>2.76</v>
      </c>
      <c r="E2130" s="2">
        <v>0.13</v>
      </c>
      <c r="F2130" s="2">
        <v>50.0</v>
      </c>
      <c r="G2130" s="4">
        <v>44461.00237403935</v>
      </c>
      <c r="H2130" s="8">
        <v>44461.0</v>
      </c>
    </row>
    <row r="2131">
      <c r="A2131" s="2">
        <v>0.28</v>
      </c>
      <c r="B2131" s="2">
        <v>233.4</v>
      </c>
      <c r="C2131" s="2">
        <v>7.7</v>
      </c>
      <c r="D2131" s="2">
        <v>2.76</v>
      </c>
      <c r="E2131" s="2">
        <v>0.12</v>
      </c>
      <c r="F2131" s="2">
        <v>50.0</v>
      </c>
      <c r="G2131" s="4">
        <v>44461.00247417824</v>
      </c>
      <c r="H2131" s="8">
        <v>44461.0</v>
      </c>
    </row>
    <row r="2132">
      <c r="A2132" s="2">
        <v>0.28</v>
      </c>
      <c r="B2132" s="2">
        <v>233.3</v>
      </c>
      <c r="C2132" s="2">
        <v>8.0</v>
      </c>
      <c r="D2132" s="2">
        <v>2.76</v>
      </c>
      <c r="E2132" s="2">
        <v>0.12</v>
      </c>
      <c r="F2132" s="2">
        <v>50.0</v>
      </c>
      <c r="G2132" s="4">
        <v>44461.00257931713</v>
      </c>
      <c r="H2132" s="8">
        <v>44461.0</v>
      </c>
    </row>
    <row r="2133">
      <c r="A2133" s="2">
        <v>0.28</v>
      </c>
      <c r="B2133" s="2">
        <v>233.3</v>
      </c>
      <c r="C2133" s="2">
        <v>10.5</v>
      </c>
      <c r="D2133" s="2">
        <v>2.76</v>
      </c>
      <c r="E2133" s="2">
        <v>0.16</v>
      </c>
      <c r="F2133" s="2">
        <v>50.0</v>
      </c>
      <c r="G2133" s="4">
        <v>44461.00268625</v>
      </c>
      <c r="H2133" s="8">
        <v>44461.0</v>
      </c>
    </row>
    <row r="2134">
      <c r="A2134" s="2">
        <v>0.3</v>
      </c>
      <c r="B2134" s="2">
        <v>233.1</v>
      </c>
      <c r="C2134" s="2">
        <v>13.8</v>
      </c>
      <c r="D2134" s="2">
        <v>2.76</v>
      </c>
      <c r="E2134" s="2">
        <v>0.2</v>
      </c>
      <c r="F2134" s="2">
        <v>50.0</v>
      </c>
      <c r="G2134" s="4">
        <v>44461.00278951389</v>
      </c>
      <c r="H2134" s="8">
        <v>44461.0</v>
      </c>
    </row>
    <row r="2135">
      <c r="A2135" s="2">
        <v>0.31</v>
      </c>
      <c r="B2135" s="2">
        <v>233.2</v>
      </c>
      <c r="C2135" s="2">
        <v>17.2</v>
      </c>
      <c r="D2135" s="2">
        <v>2.76</v>
      </c>
      <c r="E2135" s="2">
        <v>0.24</v>
      </c>
      <c r="F2135" s="2">
        <v>49.9</v>
      </c>
      <c r="G2135" s="4">
        <v>44461.00288997685</v>
      </c>
      <c r="H2135" s="8">
        <v>44461.0</v>
      </c>
    </row>
    <row r="2136">
      <c r="A2136" s="2">
        <v>0.31</v>
      </c>
      <c r="B2136" s="2">
        <v>233.2</v>
      </c>
      <c r="C2136" s="2">
        <v>15.1</v>
      </c>
      <c r="D2136" s="2">
        <v>2.76</v>
      </c>
      <c r="E2136" s="2">
        <v>0.21</v>
      </c>
      <c r="F2136" s="2">
        <v>49.9</v>
      </c>
      <c r="G2136" s="4">
        <v>44461.00298863426</v>
      </c>
      <c r="H2136" s="8">
        <v>44461.0</v>
      </c>
    </row>
    <row r="2137">
      <c r="A2137" s="2">
        <v>0.29</v>
      </c>
      <c r="B2137" s="2">
        <v>233.2</v>
      </c>
      <c r="C2137" s="2">
        <v>10.5</v>
      </c>
      <c r="D2137" s="2">
        <v>2.76</v>
      </c>
      <c r="E2137" s="2">
        <v>0.15</v>
      </c>
      <c r="F2137" s="2">
        <v>49.9</v>
      </c>
      <c r="G2137" s="4">
        <v>44461.00309413194</v>
      </c>
      <c r="H2137" s="8">
        <v>44461.0</v>
      </c>
    </row>
    <row r="2138">
      <c r="A2138" s="2">
        <v>0.28</v>
      </c>
      <c r="B2138" s="2">
        <v>233.2</v>
      </c>
      <c r="C2138" s="2">
        <v>7.8</v>
      </c>
      <c r="D2138" s="2">
        <v>2.76</v>
      </c>
      <c r="E2138" s="2">
        <v>0.12</v>
      </c>
      <c r="F2138" s="2">
        <v>49.9</v>
      </c>
      <c r="G2138" s="4">
        <v>44461.00319716435</v>
      </c>
      <c r="H2138" s="8">
        <v>44461.0</v>
      </c>
    </row>
    <row r="2139">
      <c r="A2139" s="2">
        <v>0.29</v>
      </c>
      <c r="B2139" s="2">
        <v>233.2</v>
      </c>
      <c r="C2139" s="2">
        <v>12.0</v>
      </c>
      <c r="D2139" s="2">
        <v>2.76</v>
      </c>
      <c r="E2139" s="2">
        <v>0.18</v>
      </c>
      <c r="F2139" s="2">
        <v>50.0</v>
      </c>
      <c r="G2139" s="4">
        <v>44461.00329471065</v>
      </c>
      <c r="H2139" s="8">
        <v>44461.0</v>
      </c>
    </row>
    <row r="2140">
      <c r="A2140" s="2">
        <v>0.3</v>
      </c>
      <c r="B2140" s="2">
        <v>233.5</v>
      </c>
      <c r="C2140" s="2">
        <v>14.7</v>
      </c>
      <c r="D2140" s="2">
        <v>2.76</v>
      </c>
      <c r="E2140" s="2">
        <v>0.21</v>
      </c>
      <c r="F2140" s="2">
        <v>50.0</v>
      </c>
      <c r="G2140" s="4">
        <v>44461.00339474537</v>
      </c>
      <c r="H2140" s="8">
        <v>44461.0</v>
      </c>
    </row>
    <row r="2141">
      <c r="A2141" s="2">
        <v>0.31</v>
      </c>
      <c r="B2141" s="2">
        <v>233.5</v>
      </c>
      <c r="C2141" s="2">
        <v>12.5</v>
      </c>
      <c r="D2141" s="2">
        <v>2.76</v>
      </c>
      <c r="E2141" s="2">
        <v>0.18</v>
      </c>
      <c r="F2141" s="2">
        <v>50.0</v>
      </c>
      <c r="G2141" s="4">
        <v>44461.003497303245</v>
      </c>
      <c r="H2141" s="8">
        <v>44461.0</v>
      </c>
    </row>
    <row r="2142">
      <c r="A2142" s="2">
        <v>0.31</v>
      </c>
      <c r="B2142" s="2">
        <v>233.6</v>
      </c>
      <c r="C2142" s="2">
        <v>13.7</v>
      </c>
      <c r="D2142" s="2">
        <v>2.76</v>
      </c>
      <c r="E2142" s="2">
        <v>0.19</v>
      </c>
      <c r="F2142" s="2">
        <v>50.0</v>
      </c>
      <c r="G2142" s="4">
        <v>44461.0036003125</v>
      </c>
      <c r="H2142" s="8">
        <v>44461.0</v>
      </c>
    </row>
    <row r="2143">
      <c r="A2143" s="2">
        <v>0.28</v>
      </c>
      <c r="B2143" s="2">
        <v>233.6</v>
      </c>
      <c r="C2143" s="2">
        <v>8.5</v>
      </c>
      <c r="D2143" s="2">
        <v>2.76</v>
      </c>
      <c r="E2143" s="2">
        <v>0.13</v>
      </c>
      <c r="F2143" s="2">
        <v>50.0</v>
      </c>
      <c r="G2143" s="4">
        <v>44461.00369506945</v>
      </c>
      <c r="H2143" s="8">
        <v>44461.0</v>
      </c>
    </row>
    <row r="2144">
      <c r="A2144" s="2">
        <v>0.28</v>
      </c>
      <c r="B2144" s="2">
        <v>233.5</v>
      </c>
      <c r="C2144" s="2">
        <v>7.6</v>
      </c>
      <c r="D2144" s="2">
        <v>2.76</v>
      </c>
      <c r="E2144" s="2">
        <v>0.12</v>
      </c>
      <c r="F2144" s="2">
        <v>50.0</v>
      </c>
      <c r="G2144" s="4">
        <v>44461.00379614583</v>
      </c>
      <c r="H2144" s="8">
        <v>44461.0</v>
      </c>
    </row>
    <row r="2145">
      <c r="A2145" s="2">
        <v>0.31</v>
      </c>
      <c r="B2145" s="2">
        <v>233.6</v>
      </c>
      <c r="C2145" s="2">
        <v>14.3</v>
      </c>
      <c r="D2145" s="2">
        <v>2.76</v>
      </c>
      <c r="E2145" s="2">
        <v>0.2</v>
      </c>
      <c r="F2145" s="2">
        <v>50.0</v>
      </c>
      <c r="G2145" s="4">
        <v>44461.00389070602</v>
      </c>
      <c r="H2145" s="8">
        <v>44461.0</v>
      </c>
    </row>
    <row r="2146">
      <c r="A2146" s="2">
        <v>0.28</v>
      </c>
      <c r="B2146" s="2">
        <v>233.4</v>
      </c>
      <c r="C2146" s="2">
        <v>7.9</v>
      </c>
      <c r="D2146" s="2">
        <v>2.76</v>
      </c>
      <c r="E2146" s="2">
        <v>0.12</v>
      </c>
      <c r="F2146" s="2">
        <v>50.0</v>
      </c>
      <c r="G2146" s="4">
        <v>44461.003989212964</v>
      </c>
      <c r="H2146" s="8">
        <v>44461.0</v>
      </c>
    </row>
    <row r="2147">
      <c r="A2147" s="2">
        <v>0.28</v>
      </c>
      <c r="B2147" s="2">
        <v>233.4</v>
      </c>
      <c r="C2147" s="2">
        <v>9.3</v>
      </c>
      <c r="D2147" s="2">
        <v>2.76</v>
      </c>
      <c r="E2147" s="2">
        <v>0.14</v>
      </c>
      <c r="F2147" s="2">
        <v>50.0</v>
      </c>
      <c r="G2147" s="4">
        <v>44461.0040849537</v>
      </c>
      <c r="H2147" s="8">
        <v>44461.0</v>
      </c>
    </row>
    <row r="2148">
      <c r="A2148" s="2">
        <v>0.32</v>
      </c>
      <c r="B2148" s="2">
        <v>233.4</v>
      </c>
      <c r="C2148" s="2">
        <v>16.1</v>
      </c>
      <c r="D2148" s="2">
        <v>2.76</v>
      </c>
      <c r="E2148" s="2">
        <v>0.22</v>
      </c>
      <c r="F2148" s="2">
        <v>50.0</v>
      </c>
      <c r="G2148" s="4">
        <v>44461.0041806713</v>
      </c>
      <c r="H2148" s="8">
        <v>44461.0</v>
      </c>
    </row>
    <row r="2149">
      <c r="A2149" s="2">
        <v>0.28</v>
      </c>
      <c r="B2149" s="2">
        <v>233.5</v>
      </c>
      <c r="C2149" s="2">
        <v>7.5</v>
      </c>
      <c r="D2149" s="2">
        <v>2.76</v>
      </c>
      <c r="E2149" s="2">
        <v>0.12</v>
      </c>
      <c r="F2149" s="2">
        <v>50.0</v>
      </c>
      <c r="G2149" s="4">
        <v>44461.004278368055</v>
      </c>
      <c r="H2149" s="8">
        <v>44461.0</v>
      </c>
    </row>
    <row r="2150">
      <c r="A2150" s="2">
        <v>0.28</v>
      </c>
      <c r="B2150" s="2">
        <v>233.5</v>
      </c>
      <c r="C2150" s="2">
        <v>8.9</v>
      </c>
      <c r="D2150" s="2">
        <v>2.76</v>
      </c>
      <c r="E2150" s="2">
        <v>0.14</v>
      </c>
      <c r="F2150" s="2">
        <v>49.9</v>
      </c>
      <c r="G2150" s="4">
        <v>44461.00437296296</v>
      </c>
      <c r="H2150" s="8">
        <v>44461.0</v>
      </c>
    </row>
    <row r="2151">
      <c r="A2151" s="2">
        <v>0.3</v>
      </c>
      <c r="B2151" s="2">
        <v>233.6</v>
      </c>
      <c r="C2151" s="2">
        <v>11.4</v>
      </c>
      <c r="D2151" s="2">
        <v>2.76</v>
      </c>
      <c r="E2151" s="2">
        <v>0.16</v>
      </c>
      <c r="F2151" s="2">
        <v>50.0</v>
      </c>
      <c r="G2151" s="4">
        <v>44461.00447321759</v>
      </c>
      <c r="H2151" s="8">
        <v>44461.0</v>
      </c>
    </row>
    <row r="2152">
      <c r="A2152" s="2">
        <v>0.28</v>
      </c>
      <c r="B2152" s="2">
        <v>233.6</v>
      </c>
      <c r="C2152" s="2">
        <v>8.4</v>
      </c>
      <c r="D2152" s="2">
        <v>2.76</v>
      </c>
      <c r="E2152" s="2">
        <v>0.13</v>
      </c>
      <c r="F2152" s="2">
        <v>50.0</v>
      </c>
      <c r="G2152" s="4">
        <v>44461.004573784725</v>
      </c>
      <c r="H2152" s="8">
        <v>44461.0</v>
      </c>
    </row>
    <row r="2153">
      <c r="A2153" s="2">
        <v>0.28</v>
      </c>
      <c r="B2153" s="2">
        <v>233.6</v>
      </c>
      <c r="C2153" s="2">
        <v>9.6</v>
      </c>
      <c r="D2153" s="2">
        <v>2.76</v>
      </c>
      <c r="E2153" s="2">
        <v>0.15</v>
      </c>
      <c r="F2153" s="2">
        <v>50.0</v>
      </c>
      <c r="G2153" s="4">
        <v>44461.004675069446</v>
      </c>
      <c r="H2153" s="8">
        <v>44461.0</v>
      </c>
    </row>
    <row r="2154">
      <c r="A2154" s="2">
        <v>0.32</v>
      </c>
      <c r="B2154" s="2">
        <v>233.6</v>
      </c>
      <c r="C2154" s="2">
        <v>15.4</v>
      </c>
      <c r="D2154" s="2">
        <v>2.76</v>
      </c>
      <c r="E2154" s="2">
        <v>0.21</v>
      </c>
      <c r="F2154" s="2">
        <v>50.0</v>
      </c>
      <c r="G2154" s="4">
        <v>44461.004783958335</v>
      </c>
      <c r="H2154" s="8">
        <v>44461.0</v>
      </c>
    </row>
    <row r="2155">
      <c r="A2155" s="2">
        <v>0.3</v>
      </c>
      <c r="B2155" s="2">
        <v>233.6</v>
      </c>
      <c r="C2155" s="2">
        <v>10.6</v>
      </c>
      <c r="D2155" s="2">
        <v>2.76</v>
      </c>
      <c r="E2155" s="2">
        <v>0.15</v>
      </c>
      <c r="F2155" s="2">
        <v>50.0</v>
      </c>
      <c r="G2155" s="4">
        <v>44461.00488143519</v>
      </c>
      <c r="H2155" s="8">
        <v>44461.0</v>
      </c>
    </row>
    <row r="2156">
      <c r="A2156" s="2">
        <v>0.28</v>
      </c>
      <c r="B2156" s="2">
        <v>233.7</v>
      </c>
      <c r="C2156" s="2">
        <v>7.7</v>
      </c>
      <c r="D2156" s="2">
        <v>2.76</v>
      </c>
      <c r="E2156" s="2">
        <v>0.12</v>
      </c>
      <c r="F2156" s="2">
        <v>50.0</v>
      </c>
      <c r="G2156" s="4">
        <v>44461.00498170139</v>
      </c>
      <c r="H2156" s="8">
        <v>44461.0</v>
      </c>
    </row>
    <row r="2157">
      <c r="A2157" s="2">
        <v>0.32</v>
      </c>
      <c r="B2157" s="2">
        <v>233.6</v>
      </c>
      <c r="C2157" s="2">
        <v>17.0</v>
      </c>
      <c r="D2157" s="2">
        <v>2.76</v>
      </c>
      <c r="E2157" s="2">
        <v>0.23</v>
      </c>
      <c r="F2157" s="2">
        <v>50.0</v>
      </c>
      <c r="G2157" s="4">
        <v>44461.00508113426</v>
      </c>
      <c r="H2157" s="8">
        <v>44461.0</v>
      </c>
    </row>
    <row r="2158">
      <c r="A2158" s="2">
        <v>0.28</v>
      </c>
      <c r="B2158" s="2">
        <v>233.6</v>
      </c>
      <c r="C2158" s="2">
        <v>7.6</v>
      </c>
      <c r="D2158" s="2">
        <v>2.76</v>
      </c>
      <c r="E2158" s="2">
        <v>0.12</v>
      </c>
      <c r="F2158" s="2">
        <v>50.0</v>
      </c>
      <c r="G2158" s="4">
        <v>44461.0051893287</v>
      </c>
      <c r="H2158" s="8">
        <v>44461.0</v>
      </c>
    </row>
    <row r="2159">
      <c r="A2159" s="2">
        <v>0.28</v>
      </c>
      <c r="B2159" s="2">
        <v>233.6</v>
      </c>
      <c r="C2159" s="2">
        <v>7.9</v>
      </c>
      <c r="D2159" s="2">
        <v>2.76</v>
      </c>
      <c r="E2159" s="2">
        <v>0.12</v>
      </c>
      <c r="F2159" s="2">
        <v>50.0</v>
      </c>
      <c r="G2159" s="4">
        <v>44461.005295752315</v>
      </c>
      <c r="H2159" s="8">
        <v>44461.0</v>
      </c>
    </row>
    <row r="2160">
      <c r="A2160" s="2">
        <v>0.28</v>
      </c>
      <c r="B2160" s="2">
        <v>233.6</v>
      </c>
      <c r="C2160" s="2">
        <v>8.1</v>
      </c>
      <c r="D2160" s="2">
        <v>2.76</v>
      </c>
      <c r="E2160" s="2">
        <v>0.12</v>
      </c>
      <c r="F2160" s="2">
        <v>50.0</v>
      </c>
      <c r="G2160" s="4">
        <v>44461.005397789355</v>
      </c>
      <c r="H2160" s="8">
        <v>44461.0</v>
      </c>
    </row>
    <row r="2161">
      <c r="A2161" s="2">
        <v>0.31</v>
      </c>
      <c r="B2161" s="2">
        <v>233.4</v>
      </c>
      <c r="C2161" s="2">
        <v>15.5</v>
      </c>
      <c r="D2161" s="2">
        <v>2.76</v>
      </c>
      <c r="E2161" s="2">
        <v>0.21</v>
      </c>
      <c r="F2161" s="2">
        <v>50.0</v>
      </c>
      <c r="G2161" s="4">
        <v>44461.005494004625</v>
      </c>
      <c r="H2161" s="8">
        <v>44461.0</v>
      </c>
    </row>
    <row r="2162">
      <c r="A2162" s="2">
        <v>0.28</v>
      </c>
      <c r="B2162" s="2">
        <v>233.4</v>
      </c>
      <c r="C2162" s="2">
        <v>7.3</v>
      </c>
      <c r="D2162" s="2">
        <v>2.76</v>
      </c>
      <c r="E2162" s="2">
        <v>0.11</v>
      </c>
      <c r="F2162" s="2">
        <v>50.0</v>
      </c>
      <c r="G2162" s="4">
        <v>44461.00559018519</v>
      </c>
      <c r="H2162" s="8">
        <v>44461.0</v>
      </c>
    </row>
    <row r="2163">
      <c r="A2163" s="2">
        <v>0.28</v>
      </c>
      <c r="B2163" s="2">
        <v>233.4</v>
      </c>
      <c r="C2163" s="2">
        <v>9.1</v>
      </c>
      <c r="D2163" s="2">
        <v>2.76</v>
      </c>
      <c r="E2163" s="2">
        <v>0.14</v>
      </c>
      <c r="F2163" s="2">
        <v>49.9</v>
      </c>
      <c r="G2163" s="4">
        <v>44461.00568486111</v>
      </c>
      <c r="H2163" s="8">
        <v>44461.0</v>
      </c>
    </row>
    <row r="2164">
      <c r="A2164" s="2">
        <v>0.28</v>
      </c>
      <c r="B2164" s="2">
        <v>233.4</v>
      </c>
      <c r="C2164" s="2">
        <v>7.5</v>
      </c>
      <c r="D2164" s="2">
        <v>2.76</v>
      </c>
      <c r="E2164" s="2">
        <v>0.12</v>
      </c>
      <c r="F2164" s="2">
        <v>49.9</v>
      </c>
      <c r="G2164" s="4">
        <v>44461.00578612268</v>
      </c>
      <c r="H2164" s="8">
        <v>44461.0</v>
      </c>
    </row>
    <row r="2165">
      <c r="A2165" s="2">
        <v>0.28</v>
      </c>
      <c r="B2165" s="2">
        <v>233.1</v>
      </c>
      <c r="C2165" s="2">
        <v>8.2</v>
      </c>
      <c r="D2165" s="2">
        <v>2.76</v>
      </c>
      <c r="E2165" s="2">
        <v>0.13</v>
      </c>
      <c r="F2165" s="2">
        <v>49.9</v>
      </c>
      <c r="G2165" s="4">
        <v>44461.00588819444</v>
      </c>
      <c r="H2165" s="8">
        <v>44461.0</v>
      </c>
    </row>
    <row r="2166">
      <c r="A2166" s="2">
        <v>0.32</v>
      </c>
      <c r="B2166" s="2">
        <v>233.1</v>
      </c>
      <c r="C2166" s="2">
        <v>17.2</v>
      </c>
      <c r="D2166" s="2">
        <v>2.76</v>
      </c>
      <c r="E2166" s="2">
        <v>0.23</v>
      </c>
      <c r="F2166" s="2">
        <v>49.9</v>
      </c>
      <c r="G2166" s="4">
        <v>44461.00598526621</v>
      </c>
      <c r="H2166" s="8">
        <v>44461.0</v>
      </c>
    </row>
    <row r="2167">
      <c r="A2167" s="2">
        <v>0.28</v>
      </c>
      <c r="B2167" s="2">
        <v>233.1</v>
      </c>
      <c r="C2167" s="2">
        <v>8.1</v>
      </c>
      <c r="D2167" s="2">
        <v>2.76</v>
      </c>
      <c r="E2167" s="2">
        <v>0.12</v>
      </c>
      <c r="F2167" s="2">
        <v>49.9</v>
      </c>
      <c r="G2167" s="4">
        <v>44461.006080879626</v>
      </c>
      <c r="H2167" s="8">
        <v>44461.0</v>
      </c>
    </row>
    <row r="2168">
      <c r="A2168" s="2">
        <v>0.31</v>
      </c>
      <c r="B2168" s="2">
        <v>232.9</v>
      </c>
      <c r="C2168" s="2">
        <v>16.3</v>
      </c>
      <c r="D2168" s="2">
        <v>2.76</v>
      </c>
      <c r="E2168" s="2">
        <v>0.23</v>
      </c>
      <c r="F2168" s="2">
        <v>49.9</v>
      </c>
      <c r="G2168" s="4">
        <v>44461.00618413194</v>
      </c>
      <c r="H2168" s="8">
        <v>44461.0</v>
      </c>
    </row>
    <row r="2169">
      <c r="A2169" s="2">
        <v>0.28</v>
      </c>
      <c r="B2169" s="2">
        <v>232.8</v>
      </c>
      <c r="C2169" s="2">
        <v>7.3</v>
      </c>
      <c r="D2169" s="2">
        <v>2.76</v>
      </c>
      <c r="E2169" s="2">
        <v>0.11</v>
      </c>
      <c r="F2169" s="2">
        <v>50.0</v>
      </c>
      <c r="G2169" s="4">
        <v>44461.006286435186</v>
      </c>
      <c r="H2169" s="8">
        <v>44461.0</v>
      </c>
    </row>
    <row r="2170">
      <c r="A2170" s="2">
        <v>0.28</v>
      </c>
      <c r="B2170" s="2">
        <v>232.8</v>
      </c>
      <c r="C2170" s="2">
        <v>7.4</v>
      </c>
      <c r="D2170" s="2">
        <v>2.76</v>
      </c>
      <c r="E2170" s="2">
        <v>0.12</v>
      </c>
      <c r="F2170" s="2">
        <v>50.0</v>
      </c>
      <c r="G2170" s="4">
        <v>44461.00638273148</v>
      </c>
      <c r="H2170" s="8">
        <v>44461.0</v>
      </c>
    </row>
    <row r="2171">
      <c r="A2171" s="2">
        <v>0.3</v>
      </c>
      <c r="B2171" s="2">
        <v>232.8</v>
      </c>
      <c r="C2171" s="2">
        <v>12.3</v>
      </c>
      <c r="D2171" s="2">
        <v>2.76</v>
      </c>
      <c r="E2171" s="2">
        <v>0.17</v>
      </c>
      <c r="F2171" s="2">
        <v>50.0</v>
      </c>
      <c r="G2171" s="4">
        <v>44461.006487997685</v>
      </c>
      <c r="H2171" s="8">
        <v>44461.0</v>
      </c>
    </row>
    <row r="2172">
      <c r="A2172" s="2">
        <v>0.28</v>
      </c>
      <c r="B2172" s="2">
        <v>232.9</v>
      </c>
      <c r="C2172" s="2">
        <v>7.9</v>
      </c>
      <c r="D2172" s="2">
        <v>2.76</v>
      </c>
      <c r="E2172" s="2">
        <v>0.12</v>
      </c>
      <c r="F2172" s="2">
        <v>50.0</v>
      </c>
      <c r="G2172" s="4">
        <v>44461.00659392361</v>
      </c>
      <c r="H2172" s="8">
        <v>44461.0</v>
      </c>
    </row>
    <row r="2173">
      <c r="A2173" s="2">
        <v>0.28</v>
      </c>
      <c r="B2173" s="2">
        <v>233.0</v>
      </c>
      <c r="C2173" s="2">
        <v>9.8</v>
      </c>
      <c r="D2173" s="2">
        <v>2.76</v>
      </c>
      <c r="E2173" s="2">
        <v>0.15</v>
      </c>
      <c r="F2173" s="2">
        <v>50.0</v>
      </c>
      <c r="G2173" s="4">
        <v>44461.00669571759</v>
      </c>
      <c r="H2173" s="8">
        <v>44461.0</v>
      </c>
    </row>
    <row r="2174">
      <c r="A2174" s="2">
        <v>0.28</v>
      </c>
      <c r="B2174" s="2">
        <v>232.8</v>
      </c>
      <c r="C2174" s="2">
        <v>8.7</v>
      </c>
      <c r="D2174" s="2">
        <v>2.76</v>
      </c>
      <c r="E2174" s="2">
        <v>0.13</v>
      </c>
      <c r="F2174" s="2">
        <v>50.0</v>
      </c>
      <c r="G2174" s="4">
        <v>44461.006793125</v>
      </c>
      <c r="H2174" s="8">
        <v>44461.0</v>
      </c>
    </row>
    <row r="2175">
      <c r="A2175" s="2">
        <v>0.32</v>
      </c>
      <c r="B2175" s="2">
        <v>232.9</v>
      </c>
      <c r="C2175" s="2">
        <v>17.2</v>
      </c>
      <c r="D2175" s="2">
        <v>2.76</v>
      </c>
      <c r="E2175" s="2">
        <v>0.23</v>
      </c>
      <c r="F2175" s="2">
        <v>50.0</v>
      </c>
      <c r="G2175" s="4">
        <v>44461.00688934028</v>
      </c>
      <c r="H2175" s="8">
        <v>44461.0</v>
      </c>
    </row>
    <row r="2176">
      <c r="A2176" s="2">
        <v>0.28</v>
      </c>
      <c r="B2176" s="2">
        <v>232.9</v>
      </c>
      <c r="C2176" s="2">
        <v>8.0</v>
      </c>
      <c r="D2176" s="2">
        <v>2.76</v>
      </c>
      <c r="E2176" s="2">
        <v>0.12</v>
      </c>
      <c r="F2176" s="2">
        <v>50.0</v>
      </c>
      <c r="G2176" s="4">
        <v>44461.00698796296</v>
      </c>
      <c r="H2176" s="8">
        <v>44461.0</v>
      </c>
    </row>
    <row r="2177">
      <c r="A2177" s="2">
        <v>0.31</v>
      </c>
      <c r="B2177" s="2">
        <v>232.9</v>
      </c>
      <c r="C2177" s="2">
        <v>16.2</v>
      </c>
      <c r="D2177" s="2">
        <v>2.76</v>
      </c>
      <c r="E2177" s="2">
        <v>0.22</v>
      </c>
      <c r="F2177" s="2">
        <v>50.0</v>
      </c>
      <c r="G2177" s="4">
        <v>44461.007085046294</v>
      </c>
      <c r="H2177" s="8">
        <v>44461.0</v>
      </c>
    </row>
    <row r="2178">
      <c r="A2178" s="2">
        <v>0.28</v>
      </c>
      <c r="B2178" s="2">
        <v>232.9</v>
      </c>
      <c r="C2178" s="2">
        <v>7.7</v>
      </c>
      <c r="D2178" s="2">
        <v>2.76</v>
      </c>
      <c r="E2178" s="2">
        <v>0.12</v>
      </c>
      <c r="F2178" s="2">
        <v>50.0</v>
      </c>
      <c r="G2178" s="4">
        <v>44461.00718152778</v>
      </c>
      <c r="H2178" s="8">
        <v>44461.0</v>
      </c>
    </row>
    <row r="2179">
      <c r="A2179" s="2">
        <v>0.31</v>
      </c>
      <c r="B2179" s="2">
        <v>232.7</v>
      </c>
      <c r="C2179" s="2">
        <v>15.6</v>
      </c>
      <c r="D2179" s="2">
        <v>2.76</v>
      </c>
      <c r="E2179" s="2">
        <v>0.22</v>
      </c>
      <c r="F2179" s="2">
        <v>50.0</v>
      </c>
      <c r="G2179" s="4">
        <v>44461.00727674768</v>
      </c>
      <c r="H2179" s="8">
        <v>44461.0</v>
      </c>
    </row>
    <row r="2180">
      <c r="A2180" s="2">
        <v>0.28</v>
      </c>
      <c r="B2180" s="2">
        <v>232.5</v>
      </c>
      <c r="C2180" s="2">
        <v>7.3</v>
      </c>
      <c r="D2180" s="2">
        <v>2.76</v>
      </c>
      <c r="E2180" s="2">
        <v>0.11</v>
      </c>
      <c r="F2180" s="2">
        <v>50.0</v>
      </c>
      <c r="G2180" s="4">
        <v>44461.007374629626</v>
      </c>
      <c r="H2180" s="8">
        <v>44461.0</v>
      </c>
    </row>
    <row r="2181">
      <c r="A2181" s="2">
        <v>0.32</v>
      </c>
      <c r="B2181" s="2">
        <v>232.5</v>
      </c>
      <c r="C2181" s="2">
        <v>16.1</v>
      </c>
      <c r="D2181" s="2">
        <v>2.76</v>
      </c>
      <c r="E2181" s="2">
        <v>0.22</v>
      </c>
      <c r="F2181" s="2">
        <v>49.9</v>
      </c>
      <c r="G2181" s="4">
        <v>44461.00747398148</v>
      </c>
      <c r="H2181" s="8">
        <v>44461.0</v>
      </c>
    </row>
    <row r="2182">
      <c r="A2182" s="2">
        <v>0.29</v>
      </c>
      <c r="B2182" s="2">
        <v>232.5</v>
      </c>
      <c r="C2182" s="2">
        <v>8.9</v>
      </c>
      <c r="D2182" s="2">
        <v>2.76</v>
      </c>
      <c r="E2182" s="2">
        <v>0.13</v>
      </c>
      <c r="F2182" s="2">
        <v>49.9</v>
      </c>
      <c r="G2182" s="4">
        <v>44461.0075759375</v>
      </c>
      <c r="H2182" s="8">
        <v>44461.0</v>
      </c>
    </row>
    <row r="2183">
      <c r="A2183" s="2">
        <v>0.3</v>
      </c>
      <c r="B2183" s="2">
        <v>232.4</v>
      </c>
      <c r="C2183" s="2">
        <v>14.5</v>
      </c>
      <c r="D2183" s="2">
        <v>2.76</v>
      </c>
      <c r="E2183" s="2">
        <v>0.21</v>
      </c>
      <c r="F2183" s="2">
        <v>50.0</v>
      </c>
      <c r="G2183" s="4">
        <v>44461.00767506944</v>
      </c>
      <c r="H2183" s="8">
        <v>44461.0</v>
      </c>
    </row>
    <row r="2184">
      <c r="A2184" s="2">
        <v>0.28</v>
      </c>
      <c r="B2184" s="2">
        <v>232.4</v>
      </c>
      <c r="C2184" s="2">
        <v>7.3</v>
      </c>
      <c r="D2184" s="2">
        <v>2.76</v>
      </c>
      <c r="E2184" s="2">
        <v>0.11</v>
      </c>
      <c r="F2184" s="2">
        <v>50.0</v>
      </c>
      <c r="G2184" s="4">
        <v>44461.00777600694</v>
      </c>
      <c r="H2184" s="8">
        <v>44461.0</v>
      </c>
    </row>
    <row r="2185">
      <c r="A2185" s="2">
        <v>0.28</v>
      </c>
      <c r="B2185" s="2">
        <v>232.5</v>
      </c>
      <c r="C2185" s="2">
        <v>7.6</v>
      </c>
      <c r="D2185" s="2">
        <v>2.76</v>
      </c>
      <c r="E2185" s="2">
        <v>0.12</v>
      </c>
      <c r="F2185" s="2">
        <v>50.0</v>
      </c>
      <c r="G2185" s="4">
        <v>44461.00787768519</v>
      </c>
      <c r="H2185" s="8">
        <v>44461.0</v>
      </c>
    </row>
    <row r="2186">
      <c r="A2186" s="2">
        <v>0.3</v>
      </c>
      <c r="B2186" s="2">
        <v>232.6</v>
      </c>
      <c r="C2186" s="2">
        <v>11.1</v>
      </c>
      <c r="D2186" s="2">
        <v>2.76</v>
      </c>
      <c r="E2186" s="2">
        <v>0.16</v>
      </c>
      <c r="F2186" s="2">
        <v>50.0</v>
      </c>
      <c r="G2186" s="4">
        <v>44461.00797584491</v>
      </c>
      <c r="H2186" s="8">
        <v>44461.0</v>
      </c>
    </row>
    <row r="2187">
      <c r="A2187" s="2">
        <v>0.28</v>
      </c>
      <c r="B2187" s="2">
        <v>232.6</v>
      </c>
      <c r="C2187" s="2">
        <v>7.9</v>
      </c>
      <c r="D2187" s="2">
        <v>2.76</v>
      </c>
      <c r="E2187" s="2">
        <v>0.12</v>
      </c>
      <c r="F2187" s="2">
        <v>49.9</v>
      </c>
      <c r="G2187" s="4">
        <v>44461.00807538195</v>
      </c>
      <c r="H2187" s="8">
        <v>44461.0</v>
      </c>
    </row>
    <row r="2188">
      <c r="A2188" s="2">
        <v>0.31</v>
      </c>
      <c r="B2188" s="2">
        <v>232.4</v>
      </c>
      <c r="C2188" s="2">
        <v>15.7</v>
      </c>
      <c r="D2188" s="2">
        <v>2.76</v>
      </c>
      <c r="E2188" s="2">
        <v>0.22</v>
      </c>
      <c r="F2188" s="2">
        <v>50.0</v>
      </c>
      <c r="G2188" s="4">
        <v>44461.008174629635</v>
      </c>
      <c r="H2188" s="8">
        <v>44461.0</v>
      </c>
    </row>
    <row r="2189">
      <c r="A2189" s="2">
        <v>0.28</v>
      </c>
      <c r="B2189" s="2">
        <v>232.6</v>
      </c>
      <c r="C2189" s="2">
        <v>8.6</v>
      </c>
      <c r="D2189" s="2">
        <v>2.76</v>
      </c>
      <c r="E2189" s="2">
        <v>0.13</v>
      </c>
      <c r="F2189" s="2">
        <v>50.0</v>
      </c>
      <c r="G2189" s="4">
        <v>44461.008274884254</v>
      </c>
      <c r="H2189" s="8">
        <v>44461.0</v>
      </c>
    </row>
    <row r="2190">
      <c r="A2190" s="2">
        <v>0.3</v>
      </c>
      <c r="B2190" s="2">
        <v>233.0</v>
      </c>
      <c r="C2190" s="2">
        <v>12.6</v>
      </c>
      <c r="D2190" s="2">
        <v>2.76</v>
      </c>
      <c r="E2190" s="2">
        <v>0.18</v>
      </c>
      <c r="F2190" s="2">
        <v>50.0</v>
      </c>
      <c r="G2190" s="4">
        <v>44461.00837487269</v>
      </c>
      <c r="H2190" s="8">
        <v>44461.0</v>
      </c>
    </row>
    <row r="2191">
      <c r="A2191" s="2">
        <v>0.28</v>
      </c>
      <c r="B2191" s="2">
        <v>233.2</v>
      </c>
      <c r="C2191" s="2">
        <v>7.8</v>
      </c>
      <c r="D2191" s="2">
        <v>2.76</v>
      </c>
      <c r="E2191" s="2">
        <v>0.12</v>
      </c>
      <c r="F2191" s="2">
        <v>50.0</v>
      </c>
      <c r="G2191" s="4">
        <v>44461.00847489583</v>
      </c>
      <c r="H2191" s="8">
        <v>44461.0</v>
      </c>
    </row>
    <row r="2192">
      <c r="A2192" s="2">
        <v>0.31</v>
      </c>
      <c r="B2192" s="2">
        <v>233.1</v>
      </c>
      <c r="C2192" s="2">
        <v>15.6</v>
      </c>
      <c r="D2192" s="2">
        <v>2.76</v>
      </c>
      <c r="E2192" s="2">
        <v>0.21</v>
      </c>
      <c r="F2192" s="2">
        <v>50.0</v>
      </c>
      <c r="G2192" s="4">
        <v>44461.00857082176</v>
      </c>
      <c r="H2192" s="8">
        <v>44461.0</v>
      </c>
    </row>
    <row r="2193">
      <c r="A2193" s="2">
        <v>0.28</v>
      </c>
      <c r="B2193" s="2">
        <v>233.1</v>
      </c>
      <c r="C2193" s="2">
        <v>7.7</v>
      </c>
      <c r="D2193" s="2">
        <v>2.76</v>
      </c>
      <c r="E2193" s="2">
        <v>0.12</v>
      </c>
      <c r="F2193" s="2">
        <v>50.0</v>
      </c>
      <c r="G2193" s="4">
        <v>44461.00866677084</v>
      </c>
      <c r="H2193" s="8">
        <v>44461.0</v>
      </c>
    </row>
    <row r="2194">
      <c r="A2194" s="2">
        <v>0.3</v>
      </c>
      <c r="B2194" s="2">
        <v>233.1</v>
      </c>
      <c r="C2194" s="2">
        <v>10.7</v>
      </c>
      <c r="D2194" s="2">
        <v>2.76</v>
      </c>
      <c r="E2194" s="2">
        <v>0.15</v>
      </c>
      <c r="F2194" s="2">
        <v>50.0</v>
      </c>
      <c r="G2194" s="4">
        <v>44461.00876418981</v>
      </c>
      <c r="H2194" s="8">
        <v>44461.0</v>
      </c>
    </row>
    <row r="2195">
      <c r="A2195" s="2">
        <v>0.3</v>
      </c>
      <c r="B2195" s="2">
        <v>233.2</v>
      </c>
      <c r="C2195" s="2">
        <v>12.9</v>
      </c>
      <c r="D2195" s="2">
        <v>2.76</v>
      </c>
      <c r="E2195" s="2">
        <v>0.19</v>
      </c>
      <c r="F2195" s="2">
        <v>50.0</v>
      </c>
      <c r="G2195" s="4">
        <v>44461.008863807874</v>
      </c>
      <c r="H2195" s="8">
        <v>44461.0</v>
      </c>
    </row>
    <row r="2196">
      <c r="A2196" s="2">
        <v>0.28</v>
      </c>
      <c r="B2196" s="2">
        <v>233.4</v>
      </c>
      <c r="C2196" s="2">
        <v>8.4</v>
      </c>
      <c r="D2196" s="2">
        <v>2.76</v>
      </c>
      <c r="E2196" s="2">
        <v>0.13</v>
      </c>
      <c r="F2196" s="2">
        <v>50.0</v>
      </c>
      <c r="G2196" s="4">
        <v>44461.00896290509</v>
      </c>
      <c r="H2196" s="8">
        <v>44461.0</v>
      </c>
    </row>
    <row r="2197">
      <c r="A2197" s="2">
        <v>0.28</v>
      </c>
      <c r="B2197" s="2">
        <v>233.4</v>
      </c>
      <c r="C2197" s="2">
        <v>9.2</v>
      </c>
      <c r="D2197" s="2">
        <v>2.76</v>
      </c>
      <c r="E2197" s="2">
        <v>0.14</v>
      </c>
      <c r="F2197" s="2">
        <v>50.0</v>
      </c>
      <c r="G2197" s="4">
        <v>44461.009066631945</v>
      </c>
      <c r="H2197" s="8">
        <v>44461.0</v>
      </c>
    </row>
    <row r="2198">
      <c r="A2198" s="2">
        <v>0.3</v>
      </c>
      <c r="B2198" s="2">
        <v>233.3</v>
      </c>
      <c r="C2198" s="2">
        <v>12.5</v>
      </c>
      <c r="D2198" s="2">
        <v>2.76</v>
      </c>
      <c r="E2198" s="2">
        <v>0.18</v>
      </c>
      <c r="F2198" s="2">
        <v>50.0</v>
      </c>
      <c r="G2198" s="4">
        <v>44461.00916444445</v>
      </c>
      <c r="H2198" s="8">
        <v>44461.0</v>
      </c>
    </row>
    <row r="2199">
      <c r="A2199" s="2">
        <v>0.3</v>
      </c>
      <c r="B2199" s="2">
        <v>233.2</v>
      </c>
      <c r="C2199" s="2">
        <v>14.1</v>
      </c>
      <c r="D2199" s="2">
        <v>2.76</v>
      </c>
      <c r="E2199" s="2">
        <v>0.2</v>
      </c>
      <c r="F2199" s="2">
        <v>50.0</v>
      </c>
      <c r="G2199" s="4">
        <v>44461.00926961805</v>
      </c>
      <c r="H2199" s="8">
        <v>44461.0</v>
      </c>
    </row>
    <row r="2200">
      <c r="A2200" s="2">
        <v>0.31</v>
      </c>
      <c r="B2200" s="2">
        <v>233.2</v>
      </c>
      <c r="C2200" s="2">
        <v>14.7</v>
      </c>
      <c r="D2200" s="2">
        <v>2.76</v>
      </c>
      <c r="E2200" s="2">
        <v>0.2</v>
      </c>
      <c r="F2200" s="2">
        <v>49.9</v>
      </c>
      <c r="G2200" s="4">
        <v>44461.00937490741</v>
      </c>
      <c r="H2200" s="8">
        <v>44461.0</v>
      </c>
    </row>
    <row r="2201">
      <c r="A2201" s="2">
        <v>0.28</v>
      </c>
      <c r="B2201" s="2">
        <v>233.3</v>
      </c>
      <c r="C2201" s="2">
        <v>7.7</v>
      </c>
      <c r="D2201" s="2">
        <v>2.76</v>
      </c>
      <c r="E2201" s="2">
        <v>0.12</v>
      </c>
      <c r="F2201" s="2">
        <v>49.9</v>
      </c>
      <c r="G2201" s="4">
        <v>44461.00947795139</v>
      </c>
      <c r="H2201" s="8">
        <v>44461.0</v>
      </c>
    </row>
    <row r="2202">
      <c r="A2202" s="2">
        <v>0.31</v>
      </c>
      <c r="B2202" s="2">
        <v>233.2</v>
      </c>
      <c r="C2202" s="2">
        <v>15.8</v>
      </c>
      <c r="D2202" s="2">
        <v>2.76</v>
      </c>
      <c r="E2202" s="2">
        <v>0.22</v>
      </c>
      <c r="F2202" s="2">
        <v>49.9</v>
      </c>
      <c r="G2202" s="4">
        <v>44461.009576435186</v>
      </c>
      <c r="H2202" s="8">
        <v>44461.0</v>
      </c>
    </row>
    <row r="2203">
      <c r="A2203" s="2">
        <v>0.28</v>
      </c>
      <c r="B2203" s="2">
        <v>233.3</v>
      </c>
      <c r="C2203" s="2">
        <v>9.9</v>
      </c>
      <c r="D2203" s="2">
        <v>2.76</v>
      </c>
      <c r="E2203" s="2">
        <v>0.15</v>
      </c>
      <c r="F2203" s="2">
        <v>49.9</v>
      </c>
      <c r="G2203" s="4">
        <v>44461.009678807866</v>
      </c>
      <c r="H2203" s="8">
        <v>44461.0</v>
      </c>
    </row>
    <row r="2204">
      <c r="A2204" s="2">
        <v>0.28</v>
      </c>
      <c r="B2204" s="2">
        <v>233.4</v>
      </c>
      <c r="C2204" s="2">
        <v>8.1</v>
      </c>
      <c r="D2204" s="2">
        <v>2.76</v>
      </c>
      <c r="E2204" s="2">
        <v>0.12</v>
      </c>
      <c r="F2204" s="2">
        <v>49.9</v>
      </c>
      <c r="G2204" s="4">
        <v>44461.00978306713</v>
      </c>
      <c r="H2204" s="8">
        <v>44461.0</v>
      </c>
    </row>
    <row r="2205">
      <c r="A2205" s="2">
        <v>0.28</v>
      </c>
      <c r="B2205" s="2">
        <v>233.4</v>
      </c>
      <c r="C2205" s="2">
        <v>10.3</v>
      </c>
      <c r="D2205" s="2">
        <v>2.76</v>
      </c>
      <c r="E2205" s="2">
        <v>0.16</v>
      </c>
      <c r="F2205" s="2">
        <v>50.0</v>
      </c>
      <c r="G2205" s="4">
        <v>44461.00988429398</v>
      </c>
      <c r="H2205" s="8">
        <v>44461.0</v>
      </c>
    </row>
    <row r="2206">
      <c r="A2206" s="2">
        <v>0.28</v>
      </c>
      <c r="B2206" s="2">
        <v>233.5</v>
      </c>
      <c r="C2206" s="2">
        <v>7.3</v>
      </c>
      <c r="D2206" s="2">
        <v>2.76</v>
      </c>
      <c r="E2206" s="2">
        <v>0.11</v>
      </c>
      <c r="F2206" s="2">
        <v>50.0</v>
      </c>
      <c r="G2206" s="4">
        <v>44461.009986550926</v>
      </c>
      <c r="H2206" s="8">
        <v>44461.0</v>
      </c>
    </row>
    <row r="2207">
      <c r="A2207" s="2">
        <v>0.29</v>
      </c>
      <c r="B2207" s="2">
        <v>233.6</v>
      </c>
      <c r="C2207" s="2">
        <v>10.9</v>
      </c>
      <c r="D2207" s="2">
        <v>2.76</v>
      </c>
      <c r="E2207" s="2">
        <v>0.16</v>
      </c>
      <c r="F2207" s="2">
        <v>50.0</v>
      </c>
      <c r="G2207" s="4">
        <v>44461.01009422453</v>
      </c>
      <c r="H2207" s="8">
        <v>44461.0</v>
      </c>
    </row>
    <row r="2208">
      <c r="A2208" s="2">
        <v>0.29</v>
      </c>
      <c r="B2208" s="2">
        <v>233.7</v>
      </c>
      <c r="C2208" s="2">
        <v>8.7</v>
      </c>
      <c r="D2208" s="2">
        <v>2.76</v>
      </c>
      <c r="E2208" s="2">
        <v>0.13</v>
      </c>
      <c r="F2208" s="2">
        <v>50.0</v>
      </c>
      <c r="G2208" s="4">
        <v>44461.010191678244</v>
      </c>
      <c r="H2208" s="8">
        <v>44461.0</v>
      </c>
    </row>
    <row r="2209">
      <c r="A2209" s="2">
        <v>0.28</v>
      </c>
      <c r="B2209" s="2">
        <v>233.7</v>
      </c>
      <c r="C2209" s="2">
        <v>7.4</v>
      </c>
      <c r="D2209" s="2">
        <v>2.76</v>
      </c>
      <c r="E2209" s="2">
        <v>0.11</v>
      </c>
      <c r="F2209" s="2">
        <v>50.0</v>
      </c>
      <c r="G2209" s="4">
        <v>44461.01029081018</v>
      </c>
      <c r="H2209" s="8">
        <v>44461.0</v>
      </c>
    </row>
    <row r="2210">
      <c r="A2210" s="2">
        <v>0.29</v>
      </c>
      <c r="B2210" s="2">
        <v>233.6</v>
      </c>
      <c r="C2210" s="2">
        <v>8.3</v>
      </c>
      <c r="D2210" s="2">
        <v>2.76</v>
      </c>
      <c r="E2210" s="2">
        <v>0.12</v>
      </c>
      <c r="F2210" s="2">
        <v>50.0</v>
      </c>
      <c r="G2210" s="4">
        <v>44461.01039215278</v>
      </c>
      <c r="H2210" s="8">
        <v>44461.0</v>
      </c>
    </row>
    <row r="2211">
      <c r="A2211" s="2">
        <v>0.29</v>
      </c>
      <c r="B2211" s="2">
        <v>233.7</v>
      </c>
      <c r="C2211" s="2">
        <v>10.7</v>
      </c>
      <c r="D2211" s="2">
        <v>2.76</v>
      </c>
      <c r="E2211" s="2">
        <v>0.16</v>
      </c>
      <c r="F2211" s="2">
        <v>50.0</v>
      </c>
      <c r="G2211" s="4">
        <v>44461.01050001157</v>
      </c>
      <c r="H2211" s="8">
        <v>44461.0</v>
      </c>
    </row>
    <row r="2212">
      <c r="A2212" s="2">
        <v>0.28</v>
      </c>
      <c r="B2212" s="2">
        <v>233.6</v>
      </c>
      <c r="C2212" s="2">
        <v>7.5</v>
      </c>
      <c r="D2212" s="2">
        <v>2.76</v>
      </c>
      <c r="E2212" s="2">
        <v>0.12</v>
      </c>
      <c r="F2212" s="2">
        <v>50.0</v>
      </c>
      <c r="G2212" s="4">
        <v>44461.01059798611</v>
      </c>
      <c r="H2212" s="8">
        <v>44461.0</v>
      </c>
    </row>
    <row r="2213">
      <c r="A2213" s="2">
        <v>0.3</v>
      </c>
      <c r="B2213" s="2">
        <v>233.5</v>
      </c>
      <c r="C2213" s="2">
        <v>11.3</v>
      </c>
      <c r="D2213" s="2">
        <v>2.76</v>
      </c>
      <c r="E2213" s="2">
        <v>0.16</v>
      </c>
      <c r="F2213" s="2">
        <v>50.0</v>
      </c>
      <c r="G2213" s="4">
        <v>44461.01069592593</v>
      </c>
      <c r="H2213" s="8">
        <v>44461.0</v>
      </c>
    </row>
    <row r="2214">
      <c r="A2214" s="2">
        <v>0.28</v>
      </c>
      <c r="B2214" s="2">
        <v>233.5</v>
      </c>
      <c r="C2214" s="2">
        <v>7.7</v>
      </c>
      <c r="D2214" s="2">
        <v>2.76</v>
      </c>
      <c r="E2214" s="2">
        <v>0.12</v>
      </c>
      <c r="F2214" s="2">
        <v>50.0</v>
      </c>
      <c r="G2214" s="4">
        <v>44461.01079216435</v>
      </c>
      <c r="H2214" s="8">
        <v>44461.0</v>
      </c>
    </row>
    <row r="2215">
      <c r="A2215" s="2">
        <v>0.28</v>
      </c>
      <c r="B2215" s="2">
        <v>233.4</v>
      </c>
      <c r="C2215" s="2">
        <v>7.2</v>
      </c>
      <c r="D2215" s="2">
        <v>2.76</v>
      </c>
      <c r="E2215" s="2">
        <v>0.11</v>
      </c>
      <c r="F2215" s="2">
        <v>50.0</v>
      </c>
      <c r="G2215" s="4">
        <v>44461.01088934028</v>
      </c>
      <c r="H2215" s="8">
        <v>44461.0</v>
      </c>
    </row>
    <row r="2216">
      <c r="A2216" s="2">
        <v>0.31</v>
      </c>
      <c r="B2216" s="2">
        <v>233.4</v>
      </c>
      <c r="C2216" s="2">
        <v>15.8</v>
      </c>
      <c r="D2216" s="2">
        <v>2.76</v>
      </c>
      <c r="E2216" s="2">
        <v>0.22</v>
      </c>
      <c r="F2216" s="2">
        <v>50.0</v>
      </c>
      <c r="G2216" s="4">
        <v>44461.01098584491</v>
      </c>
      <c r="H2216" s="8">
        <v>44461.0</v>
      </c>
    </row>
    <row r="2217">
      <c r="A2217" s="2">
        <v>0.28</v>
      </c>
      <c r="B2217" s="2">
        <v>233.3</v>
      </c>
      <c r="C2217" s="2">
        <v>7.3</v>
      </c>
      <c r="D2217" s="2">
        <v>2.76</v>
      </c>
      <c r="E2217" s="2">
        <v>0.11</v>
      </c>
      <c r="F2217" s="2">
        <v>50.0</v>
      </c>
      <c r="G2217" s="4">
        <v>44461.011088113424</v>
      </c>
      <c r="H2217" s="8">
        <v>44461.0</v>
      </c>
    </row>
    <row r="2218">
      <c r="A2218" s="2">
        <v>0.3</v>
      </c>
      <c r="B2218" s="2">
        <v>233.3</v>
      </c>
      <c r="C2218" s="2">
        <v>10.4</v>
      </c>
      <c r="D2218" s="2">
        <v>2.76</v>
      </c>
      <c r="E2218" s="2">
        <v>0.15</v>
      </c>
      <c r="F2218" s="2">
        <v>49.9</v>
      </c>
      <c r="G2218" s="4">
        <v>44461.01119017361</v>
      </c>
      <c r="H2218" s="8">
        <v>44461.0</v>
      </c>
    </row>
    <row r="2219">
      <c r="A2219" s="2">
        <v>0.28</v>
      </c>
      <c r="B2219" s="2">
        <v>233.3</v>
      </c>
      <c r="C2219" s="2">
        <v>8.3</v>
      </c>
      <c r="D2219" s="2">
        <v>2.76</v>
      </c>
      <c r="E2219" s="2">
        <v>0.13</v>
      </c>
      <c r="F2219" s="2">
        <v>50.0</v>
      </c>
      <c r="G2219" s="4">
        <v>44461.011287835645</v>
      </c>
      <c r="H2219" s="8">
        <v>44461.0</v>
      </c>
    </row>
    <row r="2220">
      <c r="A2220" s="2">
        <v>0.29</v>
      </c>
      <c r="B2220" s="2">
        <v>233.4</v>
      </c>
      <c r="C2220" s="2">
        <v>8.6</v>
      </c>
      <c r="D2220" s="2">
        <v>2.76</v>
      </c>
      <c r="E2220" s="2">
        <v>0.13</v>
      </c>
      <c r="F2220" s="2">
        <v>50.0</v>
      </c>
      <c r="G2220" s="4">
        <v>44461.01138655093</v>
      </c>
      <c r="H2220" s="8">
        <v>44461.0</v>
      </c>
    </row>
    <row r="2221">
      <c r="A2221" s="2">
        <v>0.31</v>
      </c>
      <c r="B2221" s="2">
        <v>233.5</v>
      </c>
      <c r="C2221" s="2">
        <v>14.0</v>
      </c>
      <c r="D2221" s="2">
        <v>2.76</v>
      </c>
      <c r="E2221" s="2">
        <v>0.2</v>
      </c>
      <c r="F2221" s="2">
        <v>50.0</v>
      </c>
      <c r="G2221" s="4">
        <v>44461.01148789352</v>
      </c>
      <c r="H2221" s="8">
        <v>44461.0</v>
      </c>
    </row>
    <row r="2222">
      <c r="A2222" s="2">
        <v>0.28</v>
      </c>
      <c r="B2222" s="2">
        <v>233.6</v>
      </c>
      <c r="C2222" s="2">
        <v>8.2</v>
      </c>
      <c r="D2222" s="2">
        <v>2.76</v>
      </c>
      <c r="E2222" s="2">
        <v>0.12</v>
      </c>
      <c r="F2222" s="2">
        <v>50.0</v>
      </c>
      <c r="G2222" s="4">
        <v>44461.01159106482</v>
      </c>
      <c r="H2222" s="8">
        <v>44461.0</v>
      </c>
    </row>
    <row r="2223">
      <c r="A2223" s="2">
        <v>0.31</v>
      </c>
      <c r="B2223" s="2">
        <v>233.6</v>
      </c>
      <c r="C2223" s="2">
        <v>15.0</v>
      </c>
      <c r="D2223" s="2">
        <v>2.76</v>
      </c>
      <c r="E2223" s="2">
        <v>0.21</v>
      </c>
      <c r="F2223" s="2">
        <v>50.0</v>
      </c>
      <c r="G2223" s="4">
        <v>44461.01168953704</v>
      </c>
      <c r="H2223" s="8">
        <v>44461.0</v>
      </c>
    </row>
    <row r="2224">
      <c r="A2224" s="2">
        <v>0.28</v>
      </c>
      <c r="B2224" s="2">
        <v>233.7</v>
      </c>
      <c r="C2224" s="2">
        <v>7.6</v>
      </c>
      <c r="D2224" s="2">
        <v>2.76</v>
      </c>
      <c r="E2224" s="2">
        <v>0.12</v>
      </c>
      <c r="F2224" s="2">
        <v>50.0</v>
      </c>
      <c r="G2224" s="4">
        <v>44461.01179412037</v>
      </c>
      <c r="H2224" s="8">
        <v>44461.0</v>
      </c>
    </row>
    <row r="2225">
      <c r="A2225" s="2">
        <v>0.31</v>
      </c>
      <c r="B2225" s="2">
        <v>233.7</v>
      </c>
      <c r="C2225" s="2">
        <v>13.8</v>
      </c>
      <c r="D2225" s="2">
        <v>2.76</v>
      </c>
      <c r="E2225" s="2">
        <v>0.19</v>
      </c>
      <c r="F2225" s="2">
        <v>50.0</v>
      </c>
      <c r="G2225" s="4">
        <v>44461.01189783565</v>
      </c>
      <c r="H2225" s="8">
        <v>44461.0</v>
      </c>
    </row>
    <row r="2226">
      <c r="A2226" s="2">
        <v>0.28</v>
      </c>
      <c r="B2226" s="2">
        <v>233.7</v>
      </c>
      <c r="C2226" s="2">
        <v>7.2</v>
      </c>
      <c r="D2226" s="2">
        <v>2.76</v>
      </c>
      <c r="E2226" s="2">
        <v>0.11</v>
      </c>
      <c r="F2226" s="2">
        <v>50.0</v>
      </c>
      <c r="G2226" s="4">
        <v>44461.01199585648</v>
      </c>
      <c r="H2226" s="8">
        <v>44461.0</v>
      </c>
    </row>
    <row r="2227">
      <c r="A2227" s="2">
        <v>0.3</v>
      </c>
      <c r="B2227" s="2">
        <v>233.8</v>
      </c>
      <c r="C2227" s="2">
        <v>10.9</v>
      </c>
      <c r="D2227" s="2">
        <v>2.76</v>
      </c>
      <c r="E2227" s="2">
        <v>0.16</v>
      </c>
      <c r="F2227" s="2">
        <v>50.0</v>
      </c>
      <c r="G2227" s="4">
        <v>44461.012099733794</v>
      </c>
      <c r="H2227" s="8">
        <v>44461.0</v>
      </c>
    </row>
    <row r="2228">
      <c r="A2228" s="2">
        <v>0.3</v>
      </c>
      <c r="B2228" s="2">
        <v>233.6</v>
      </c>
      <c r="C2228" s="2">
        <v>13.3</v>
      </c>
      <c r="D2228" s="2">
        <v>2.76</v>
      </c>
      <c r="E2228" s="2">
        <v>0.19</v>
      </c>
      <c r="F2228" s="2">
        <v>50.0</v>
      </c>
      <c r="G2228" s="4">
        <v>44461.01219756945</v>
      </c>
      <c r="H2228" s="8">
        <v>44461.0</v>
      </c>
    </row>
    <row r="2229">
      <c r="A2229" s="2">
        <v>0.28</v>
      </c>
      <c r="B2229" s="2">
        <v>233.6</v>
      </c>
      <c r="C2229" s="2">
        <v>7.8</v>
      </c>
      <c r="D2229" s="2">
        <v>2.76</v>
      </c>
      <c r="E2229" s="2">
        <v>0.12</v>
      </c>
      <c r="F2229" s="2">
        <v>50.0</v>
      </c>
      <c r="G2229" s="4">
        <v>44461.012315300926</v>
      </c>
      <c r="H2229" s="8">
        <v>44461.0</v>
      </c>
    </row>
    <row r="2230">
      <c r="A2230" s="2">
        <v>0.28</v>
      </c>
      <c r="B2230" s="2">
        <v>233.3</v>
      </c>
      <c r="C2230" s="2">
        <v>9.7</v>
      </c>
      <c r="D2230" s="2">
        <v>2.76</v>
      </c>
      <c r="E2230" s="2">
        <v>0.15</v>
      </c>
      <c r="F2230" s="2">
        <v>49.9</v>
      </c>
      <c r="G2230" s="4">
        <v>44461.012417569444</v>
      </c>
      <c r="H2230" s="8">
        <v>44461.0</v>
      </c>
    </row>
    <row r="2231">
      <c r="A2231" s="2">
        <v>0.28</v>
      </c>
      <c r="B2231" s="2">
        <v>233.2</v>
      </c>
      <c r="C2231" s="2">
        <v>7.7</v>
      </c>
      <c r="D2231" s="2">
        <v>2.76</v>
      </c>
      <c r="E2231" s="2">
        <v>0.12</v>
      </c>
      <c r="F2231" s="2">
        <v>49.9</v>
      </c>
      <c r="G2231" s="4">
        <v>44461.01252447917</v>
      </c>
      <c r="H2231" s="8">
        <v>44461.0</v>
      </c>
    </row>
    <row r="2232">
      <c r="A2232" s="2">
        <v>0.31</v>
      </c>
      <c r="B2232" s="2">
        <v>233.3</v>
      </c>
      <c r="C2232" s="2">
        <v>14.2</v>
      </c>
      <c r="D2232" s="2">
        <v>2.76</v>
      </c>
      <c r="E2232" s="2">
        <v>0.2</v>
      </c>
      <c r="F2232" s="2">
        <v>49.9</v>
      </c>
      <c r="G2232" s="4">
        <v>44461.01262763889</v>
      </c>
      <c r="H2232" s="8">
        <v>44461.0</v>
      </c>
    </row>
    <row r="2233">
      <c r="A2233" s="2">
        <v>0.28</v>
      </c>
      <c r="B2233" s="2">
        <v>233.4</v>
      </c>
      <c r="C2233" s="2">
        <v>6.9</v>
      </c>
      <c r="D2233" s="2">
        <v>2.76</v>
      </c>
      <c r="E2233" s="2">
        <v>0.11</v>
      </c>
      <c r="F2233" s="2">
        <v>49.9</v>
      </c>
      <c r="G2233" s="4">
        <v>44461.01272600694</v>
      </c>
      <c r="H2233" s="8">
        <v>44461.0</v>
      </c>
    </row>
    <row r="2234">
      <c r="A2234" s="2">
        <v>0.3</v>
      </c>
      <c r="B2234" s="2">
        <v>233.3</v>
      </c>
      <c r="C2234" s="2">
        <v>11.8</v>
      </c>
      <c r="D2234" s="2">
        <v>2.76</v>
      </c>
      <c r="E2234" s="2">
        <v>0.17</v>
      </c>
      <c r="F2234" s="2">
        <v>49.9</v>
      </c>
      <c r="G2234" s="4">
        <v>44461.0128274537</v>
      </c>
      <c r="H2234" s="8">
        <v>44461.0</v>
      </c>
    </row>
    <row r="2235">
      <c r="A2235" s="2">
        <v>0.28</v>
      </c>
      <c r="B2235" s="2">
        <v>233.4</v>
      </c>
      <c r="C2235" s="2">
        <v>9.8</v>
      </c>
      <c r="D2235" s="2">
        <v>2.76</v>
      </c>
      <c r="E2235" s="2">
        <v>0.15</v>
      </c>
      <c r="F2235" s="2">
        <v>50.0</v>
      </c>
      <c r="G2235" s="4">
        <v>44461.01292630787</v>
      </c>
      <c r="H2235" s="8">
        <v>44461.0</v>
      </c>
    </row>
    <row r="2236">
      <c r="A2236" s="2">
        <v>0.28</v>
      </c>
      <c r="B2236" s="2">
        <v>233.3</v>
      </c>
      <c r="C2236" s="2">
        <v>7.3</v>
      </c>
      <c r="D2236" s="2">
        <v>2.76</v>
      </c>
      <c r="E2236" s="2">
        <v>0.11</v>
      </c>
      <c r="F2236" s="2">
        <v>49.9</v>
      </c>
      <c r="G2236" s="4">
        <v>44461.013022858795</v>
      </c>
      <c r="H2236" s="8">
        <v>44461.0</v>
      </c>
    </row>
    <row r="2237">
      <c r="A2237" s="2">
        <v>0.28</v>
      </c>
      <c r="B2237" s="2">
        <v>233.1</v>
      </c>
      <c r="C2237" s="2">
        <v>7.3</v>
      </c>
      <c r="D2237" s="2">
        <v>2.76</v>
      </c>
      <c r="E2237" s="2">
        <v>0.11</v>
      </c>
      <c r="F2237" s="2">
        <v>49.9</v>
      </c>
      <c r="G2237" s="4">
        <v>44461.01313141204</v>
      </c>
      <c r="H2237" s="8">
        <v>44461.0</v>
      </c>
    </row>
    <row r="2238">
      <c r="A2238" s="2">
        <v>0.3</v>
      </c>
      <c r="B2238" s="2">
        <v>233.1</v>
      </c>
      <c r="C2238" s="2">
        <v>13.4</v>
      </c>
      <c r="D2238" s="2">
        <v>2.76</v>
      </c>
      <c r="E2238" s="2">
        <v>0.19</v>
      </c>
      <c r="F2238" s="2">
        <v>49.9</v>
      </c>
      <c r="G2238" s="4">
        <v>44461.01323596065</v>
      </c>
      <c r="H2238" s="8">
        <v>44461.0</v>
      </c>
    </row>
    <row r="2239">
      <c r="A2239" s="2">
        <v>0.28</v>
      </c>
      <c r="B2239" s="2">
        <v>233.2</v>
      </c>
      <c r="C2239" s="2">
        <v>7.5</v>
      </c>
      <c r="D2239" s="2">
        <v>2.76</v>
      </c>
      <c r="E2239" s="2">
        <v>0.12</v>
      </c>
      <c r="F2239" s="2">
        <v>50.0</v>
      </c>
      <c r="G2239" s="4">
        <v>44461.01333458333</v>
      </c>
      <c r="H2239" s="8">
        <v>44461.0</v>
      </c>
    </row>
    <row r="2240">
      <c r="A2240" s="2">
        <v>0.3</v>
      </c>
      <c r="B2240" s="2">
        <v>233.1</v>
      </c>
      <c r="C2240" s="2">
        <v>13.0</v>
      </c>
      <c r="D2240" s="2">
        <v>2.76</v>
      </c>
      <c r="E2240" s="2">
        <v>0.18</v>
      </c>
      <c r="F2240" s="2">
        <v>50.0</v>
      </c>
      <c r="G2240" s="4">
        <v>44461.0134305324</v>
      </c>
      <c r="H2240" s="8">
        <v>44461.0</v>
      </c>
    </row>
    <row r="2241">
      <c r="A2241" s="2">
        <v>0.29</v>
      </c>
      <c r="B2241" s="2">
        <v>233.1</v>
      </c>
      <c r="C2241" s="2">
        <v>12.1</v>
      </c>
      <c r="D2241" s="2">
        <v>2.76</v>
      </c>
      <c r="E2241" s="2">
        <v>0.18</v>
      </c>
      <c r="F2241" s="2">
        <v>49.9</v>
      </c>
      <c r="G2241" s="4">
        <v>44461.01353369213</v>
      </c>
      <c r="H2241" s="8">
        <v>44461.0</v>
      </c>
    </row>
    <row r="2242">
      <c r="A2242" s="2">
        <v>0.28</v>
      </c>
      <c r="B2242" s="2">
        <v>233.2</v>
      </c>
      <c r="C2242" s="2">
        <v>7.4</v>
      </c>
      <c r="D2242" s="2">
        <v>2.76</v>
      </c>
      <c r="E2242" s="2">
        <v>0.11</v>
      </c>
      <c r="F2242" s="2">
        <v>49.9</v>
      </c>
      <c r="G2242" s="4">
        <v>44461.01363592593</v>
      </c>
      <c r="H2242" s="8">
        <v>44461.0</v>
      </c>
    </row>
    <row r="2243">
      <c r="A2243" s="2">
        <v>0.31</v>
      </c>
      <c r="B2243" s="2">
        <v>233.2</v>
      </c>
      <c r="C2243" s="2">
        <v>15.5</v>
      </c>
      <c r="D2243" s="2">
        <v>2.76</v>
      </c>
      <c r="E2243" s="2">
        <v>0.22</v>
      </c>
      <c r="F2243" s="2">
        <v>50.0</v>
      </c>
      <c r="G2243" s="4">
        <v>44461.01374623843</v>
      </c>
      <c r="H2243" s="8">
        <v>44461.0</v>
      </c>
    </row>
    <row r="2244">
      <c r="A2244" s="2">
        <v>0.28</v>
      </c>
      <c r="B2244" s="2">
        <v>233.3</v>
      </c>
      <c r="C2244" s="2">
        <v>7.3</v>
      </c>
      <c r="D2244" s="2">
        <v>2.76</v>
      </c>
      <c r="E2244" s="2">
        <v>0.11</v>
      </c>
      <c r="F2244" s="2">
        <v>50.0</v>
      </c>
      <c r="G2244" s="4">
        <v>44461.01384990741</v>
      </c>
      <c r="H2244" s="8">
        <v>44461.0</v>
      </c>
    </row>
    <row r="2245">
      <c r="A2245" s="2">
        <v>0.28</v>
      </c>
      <c r="B2245" s="2">
        <v>233.3</v>
      </c>
      <c r="C2245" s="2">
        <v>7.4</v>
      </c>
      <c r="D2245" s="2">
        <v>2.76</v>
      </c>
      <c r="E2245" s="2">
        <v>0.11</v>
      </c>
      <c r="F2245" s="2">
        <v>50.0</v>
      </c>
      <c r="G2245" s="4">
        <v>44461.01394694444</v>
      </c>
      <c r="H2245" s="8">
        <v>44461.0</v>
      </c>
    </row>
    <row r="2246">
      <c r="A2246" s="2">
        <v>0.31</v>
      </c>
      <c r="B2246" s="2">
        <v>233.4</v>
      </c>
      <c r="C2246" s="2">
        <v>14.7</v>
      </c>
      <c r="D2246" s="2">
        <v>2.76</v>
      </c>
      <c r="E2246" s="2">
        <v>0.21</v>
      </c>
      <c r="F2246" s="2">
        <v>50.0</v>
      </c>
      <c r="G2246" s="4">
        <v>44461.014054467596</v>
      </c>
      <c r="H2246" s="8">
        <v>44461.0</v>
      </c>
    </row>
    <row r="2247">
      <c r="A2247" s="2">
        <v>0.28</v>
      </c>
      <c r="B2247" s="2">
        <v>233.4</v>
      </c>
      <c r="C2247" s="2">
        <v>7.9</v>
      </c>
      <c r="D2247" s="2">
        <v>2.76</v>
      </c>
      <c r="E2247" s="2">
        <v>0.12</v>
      </c>
      <c r="F2247" s="2">
        <v>50.0</v>
      </c>
      <c r="G2247" s="4">
        <v>44461.01415449074</v>
      </c>
      <c r="H2247" s="8">
        <v>44461.0</v>
      </c>
    </row>
    <row r="2248">
      <c r="A2248" s="2">
        <v>0.28</v>
      </c>
      <c r="B2248" s="2">
        <v>233.3</v>
      </c>
      <c r="C2248" s="2">
        <v>7.9</v>
      </c>
      <c r="D2248" s="2">
        <v>2.76</v>
      </c>
      <c r="E2248" s="2">
        <v>0.12</v>
      </c>
      <c r="F2248" s="2">
        <v>50.0</v>
      </c>
      <c r="G2248" s="4">
        <v>44461.014251782406</v>
      </c>
      <c r="H2248" s="8">
        <v>44461.0</v>
      </c>
    </row>
    <row r="2249">
      <c r="A2249" s="2">
        <v>0.28</v>
      </c>
      <c r="B2249" s="2">
        <v>233.3</v>
      </c>
      <c r="C2249" s="2">
        <v>9.4</v>
      </c>
      <c r="D2249" s="2">
        <v>2.76</v>
      </c>
      <c r="E2249" s="2">
        <v>0.14</v>
      </c>
      <c r="F2249" s="2">
        <v>50.0</v>
      </c>
      <c r="G2249" s="4">
        <v>44461.01435266204</v>
      </c>
      <c r="H2249" s="8">
        <v>44461.0</v>
      </c>
    </row>
    <row r="2250">
      <c r="A2250" s="2">
        <v>0.28</v>
      </c>
      <c r="B2250" s="2">
        <v>233.4</v>
      </c>
      <c r="C2250" s="2">
        <v>8.2</v>
      </c>
      <c r="D2250" s="2">
        <v>2.76</v>
      </c>
      <c r="E2250" s="2">
        <v>0.13</v>
      </c>
      <c r="F2250" s="2">
        <v>50.0</v>
      </c>
      <c r="G2250" s="4">
        <v>44461.01445594907</v>
      </c>
      <c r="H2250" s="8">
        <v>44461.0</v>
      </c>
    </row>
    <row r="2251">
      <c r="A2251" s="2">
        <v>0.29</v>
      </c>
      <c r="B2251" s="2">
        <v>233.4</v>
      </c>
      <c r="C2251" s="2">
        <v>9.2</v>
      </c>
      <c r="D2251" s="2">
        <v>2.76</v>
      </c>
      <c r="E2251" s="2">
        <v>0.14</v>
      </c>
      <c r="F2251" s="2">
        <v>50.0</v>
      </c>
      <c r="G2251" s="4">
        <v>44461.014558993054</v>
      </c>
      <c r="H2251" s="8">
        <v>44461.0</v>
      </c>
    </row>
    <row r="2252">
      <c r="A2252" s="2">
        <v>0.28</v>
      </c>
      <c r="B2252" s="2">
        <v>233.6</v>
      </c>
      <c r="C2252" s="2">
        <v>8.0</v>
      </c>
      <c r="D2252" s="2">
        <v>2.76</v>
      </c>
      <c r="E2252" s="2">
        <v>0.12</v>
      </c>
      <c r="F2252" s="2">
        <v>50.0</v>
      </c>
      <c r="G2252" s="4">
        <v>44461.01468284722</v>
      </c>
      <c r="H2252" s="8">
        <v>44461.0</v>
      </c>
    </row>
    <row r="2253">
      <c r="A2253" s="2">
        <v>0.29</v>
      </c>
      <c r="B2253" s="2">
        <v>233.5</v>
      </c>
      <c r="C2253" s="2">
        <v>12.4</v>
      </c>
      <c r="D2253" s="2">
        <v>2.76</v>
      </c>
      <c r="E2253" s="2">
        <v>0.18</v>
      </c>
      <c r="F2253" s="2">
        <v>50.0</v>
      </c>
      <c r="G2253" s="4">
        <v>44461.014795995376</v>
      </c>
      <c r="H2253" s="8">
        <v>44461.0</v>
      </c>
    </row>
    <row r="2254">
      <c r="A2254" s="2">
        <v>0.28</v>
      </c>
      <c r="B2254" s="2">
        <v>233.5</v>
      </c>
      <c r="C2254" s="2">
        <v>7.9</v>
      </c>
      <c r="D2254" s="2">
        <v>2.76</v>
      </c>
      <c r="E2254" s="2">
        <v>0.12</v>
      </c>
      <c r="F2254" s="2">
        <v>49.9</v>
      </c>
      <c r="G2254" s="4">
        <v>44461.01489277778</v>
      </c>
      <c r="H2254" s="8">
        <v>44461.0</v>
      </c>
    </row>
    <row r="2255">
      <c r="A2255" s="2">
        <v>0.28</v>
      </c>
      <c r="B2255" s="2">
        <v>233.7</v>
      </c>
      <c r="C2255" s="2">
        <v>7.4</v>
      </c>
      <c r="D2255" s="2">
        <v>2.76</v>
      </c>
      <c r="E2255" s="2">
        <v>0.11</v>
      </c>
      <c r="F2255" s="2">
        <v>49.9</v>
      </c>
      <c r="G2255" s="4">
        <v>44461.0149934838</v>
      </c>
      <c r="H2255" s="8">
        <v>44461.0</v>
      </c>
    </row>
    <row r="2256">
      <c r="A2256" s="2">
        <v>0.28</v>
      </c>
      <c r="B2256" s="2">
        <v>233.7</v>
      </c>
      <c r="C2256" s="2">
        <v>7.3</v>
      </c>
      <c r="D2256" s="2">
        <v>2.76</v>
      </c>
      <c r="E2256" s="2">
        <v>0.11</v>
      </c>
      <c r="F2256" s="2">
        <v>49.9</v>
      </c>
      <c r="G2256" s="4">
        <v>44461.015106770836</v>
      </c>
      <c r="H2256" s="8">
        <v>44461.0</v>
      </c>
    </row>
    <row r="2257">
      <c r="A2257" s="2">
        <v>0.28</v>
      </c>
      <c r="B2257" s="2">
        <v>233.7</v>
      </c>
      <c r="C2257" s="2">
        <v>7.2</v>
      </c>
      <c r="D2257" s="2">
        <v>2.76</v>
      </c>
      <c r="E2257" s="2">
        <v>0.11</v>
      </c>
      <c r="F2257" s="2">
        <v>50.0</v>
      </c>
      <c r="G2257" s="4">
        <v>44461.01520403935</v>
      </c>
      <c r="H2257" s="8">
        <v>44461.0</v>
      </c>
    </row>
    <row r="2258">
      <c r="A2258" s="2">
        <v>0.29</v>
      </c>
      <c r="B2258" s="2">
        <v>233.7</v>
      </c>
      <c r="C2258" s="2">
        <v>8.5</v>
      </c>
      <c r="D2258" s="2">
        <v>2.76</v>
      </c>
      <c r="E2258" s="2">
        <v>0.13</v>
      </c>
      <c r="F2258" s="2">
        <v>50.0</v>
      </c>
      <c r="G2258" s="4">
        <v>44461.01530219907</v>
      </c>
      <c r="H2258" s="8">
        <v>44461.0</v>
      </c>
    </row>
    <row r="2259">
      <c r="A2259" s="2">
        <v>0.3</v>
      </c>
      <c r="B2259" s="2">
        <v>233.7</v>
      </c>
      <c r="C2259" s="2">
        <v>10.6</v>
      </c>
      <c r="D2259" s="2">
        <v>2.76</v>
      </c>
      <c r="E2259" s="2">
        <v>0.15</v>
      </c>
      <c r="F2259" s="2">
        <v>50.0</v>
      </c>
      <c r="G2259" s="4">
        <v>44461.015399375</v>
      </c>
      <c r="H2259" s="8">
        <v>44461.0</v>
      </c>
    </row>
    <row r="2260">
      <c r="A2260" s="2">
        <v>0.28</v>
      </c>
      <c r="B2260" s="2">
        <v>233.7</v>
      </c>
      <c r="C2260" s="2">
        <v>7.4</v>
      </c>
      <c r="D2260" s="2">
        <v>2.76</v>
      </c>
      <c r="E2260" s="2">
        <v>0.11</v>
      </c>
      <c r="F2260" s="2">
        <v>50.0</v>
      </c>
      <c r="G2260" s="4">
        <v>44461.01549635417</v>
      </c>
      <c r="H2260" s="8">
        <v>44461.0</v>
      </c>
    </row>
    <row r="2261">
      <c r="A2261" s="2">
        <v>0.28</v>
      </c>
      <c r="B2261" s="2">
        <v>233.6</v>
      </c>
      <c r="C2261" s="2">
        <v>8.1</v>
      </c>
      <c r="D2261" s="2">
        <v>2.76</v>
      </c>
      <c r="E2261" s="2">
        <v>0.12</v>
      </c>
      <c r="F2261" s="2">
        <v>49.9</v>
      </c>
      <c r="G2261" s="4">
        <v>44461.01560034722</v>
      </c>
      <c r="H2261" s="8">
        <v>44461.0</v>
      </c>
    </row>
    <row r="2262">
      <c r="A2262" s="2">
        <v>0.3</v>
      </c>
      <c r="B2262" s="2">
        <v>233.6</v>
      </c>
      <c r="C2262" s="2">
        <v>13.2</v>
      </c>
      <c r="D2262" s="2">
        <v>2.76</v>
      </c>
      <c r="E2262" s="2">
        <v>0.19</v>
      </c>
      <c r="F2262" s="2">
        <v>50.0</v>
      </c>
      <c r="G2262" s="4">
        <v>44461.015702060184</v>
      </c>
      <c r="H2262" s="8">
        <v>44461.0</v>
      </c>
    </row>
    <row r="2263">
      <c r="A2263" s="2">
        <v>0.28</v>
      </c>
      <c r="B2263" s="2">
        <v>233.6</v>
      </c>
      <c r="C2263" s="2">
        <v>7.7</v>
      </c>
      <c r="D2263" s="2">
        <v>2.76</v>
      </c>
      <c r="E2263" s="2">
        <v>0.12</v>
      </c>
      <c r="F2263" s="2">
        <v>49.9</v>
      </c>
      <c r="G2263" s="4">
        <v>44461.01580122685</v>
      </c>
      <c r="H2263" s="8">
        <v>44461.0</v>
      </c>
    </row>
    <row r="2264">
      <c r="A2264" s="2">
        <v>0.28</v>
      </c>
      <c r="B2264" s="2">
        <v>233.9</v>
      </c>
      <c r="C2264" s="2">
        <v>7.1</v>
      </c>
      <c r="D2264" s="2">
        <v>2.76</v>
      </c>
      <c r="E2264" s="2">
        <v>0.11</v>
      </c>
      <c r="F2264" s="2">
        <v>49.9</v>
      </c>
      <c r="G2264" s="4">
        <v>44461.015898067126</v>
      </c>
      <c r="H2264" s="8">
        <v>44461.0</v>
      </c>
    </row>
    <row r="2265">
      <c r="A2265" s="2">
        <v>0.31</v>
      </c>
      <c r="B2265" s="2">
        <v>233.8</v>
      </c>
      <c r="C2265" s="2">
        <v>13.6</v>
      </c>
      <c r="D2265" s="2">
        <v>2.76</v>
      </c>
      <c r="E2265" s="2">
        <v>0.19</v>
      </c>
      <c r="F2265" s="2">
        <v>49.9</v>
      </c>
      <c r="G2265" s="4">
        <v>44461.01599951389</v>
      </c>
      <c r="H2265" s="8">
        <v>44461.0</v>
      </c>
    </row>
    <row r="2266">
      <c r="A2266" s="2">
        <v>0.28</v>
      </c>
      <c r="B2266" s="2">
        <v>233.7</v>
      </c>
      <c r="C2266" s="2">
        <v>7.5</v>
      </c>
      <c r="D2266" s="2">
        <v>2.76</v>
      </c>
      <c r="E2266" s="2">
        <v>0.12</v>
      </c>
      <c r="F2266" s="2">
        <v>49.9</v>
      </c>
      <c r="G2266" s="4">
        <v>44461.01610451389</v>
      </c>
      <c r="H2266" s="8">
        <v>44461.0</v>
      </c>
    </row>
    <row r="2267">
      <c r="A2267" s="2">
        <v>0.28</v>
      </c>
      <c r="B2267" s="2">
        <v>233.6</v>
      </c>
      <c r="C2267" s="2">
        <v>7.9</v>
      </c>
      <c r="D2267" s="2">
        <v>2.76</v>
      </c>
      <c r="E2267" s="2">
        <v>0.12</v>
      </c>
      <c r="F2267" s="2">
        <v>49.9</v>
      </c>
      <c r="G2267" s="4">
        <v>44461.016201805556</v>
      </c>
      <c r="H2267" s="8">
        <v>44461.0</v>
      </c>
    </row>
    <row r="2268">
      <c r="A2268" s="2">
        <v>0.3</v>
      </c>
      <c r="B2268" s="2">
        <v>233.7</v>
      </c>
      <c r="C2268" s="2">
        <v>11.5</v>
      </c>
      <c r="D2268" s="2">
        <v>2.76</v>
      </c>
      <c r="E2268" s="2">
        <v>0.16</v>
      </c>
      <c r="F2268" s="2">
        <v>49.9</v>
      </c>
      <c r="G2268" s="4">
        <v>44461.016299062496</v>
      </c>
      <c r="H2268" s="8">
        <v>44461.0</v>
      </c>
    </row>
    <row r="2269">
      <c r="A2269" s="2">
        <v>0.28</v>
      </c>
      <c r="B2269" s="2">
        <v>233.8</v>
      </c>
      <c r="C2269" s="2">
        <v>7.3</v>
      </c>
      <c r="D2269" s="2">
        <v>2.76</v>
      </c>
      <c r="E2269" s="2">
        <v>0.11</v>
      </c>
      <c r="F2269" s="2">
        <v>49.9</v>
      </c>
      <c r="G2269" s="4">
        <v>44461.01639984954</v>
      </c>
      <c r="H2269" s="8">
        <v>44461.0</v>
      </c>
    </row>
    <row r="2270">
      <c r="A2270" s="2">
        <v>0.28</v>
      </c>
      <c r="B2270" s="2">
        <v>233.8</v>
      </c>
      <c r="C2270" s="2">
        <v>7.4</v>
      </c>
      <c r="D2270" s="2">
        <v>2.76</v>
      </c>
      <c r="E2270" s="2">
        <v>0.11</v>
      </c>
      <c r="F2270" s="2">
        <v>49.9</v>
      </c>
      <c r="G2270" s="4">
        <v>44461.01650724537</v>
      </c>
      <c r="H2270" s="8">
        <v>44461.0</v>
      </c>
    </row>
    <row r="2271">
      <c r="A2271" s="2">
        <v>0.3</v>
      </c>
      <c r="B2271" s="2">
        <v>233.2</v>
      </c>
      <c r="C2271" s="2">
        <v>11.0</v>
      </c>
      <c r="D2271" s="2">
        <v>2.76</v>
      </c>
      <c r="E2271" s="2">
        <v>0.16</v>
      </c>
      <c r="F2271" s="2">
        <v>49.9</v>
      </c>
      <c r="G2271" s="4">
        <v>44461.01661060185</v>
      </c>
      <c r="H2271" s="8">
        <v>44461.0</v>
      </c>
    </row>
    <row r="2272">
      <c r="A2272" s="2">
        <v>0.28</v>
      </c>
      <c r="B2272" s="2">
        <v>233.3</v>
      </c>
      <c r="C2272" s="2">
        <v>7.5</v>
      </c>
      <c r="D2272" s="2">
        <v>2.76</v>
      </c>
      <c r="E2272" s="2">
        <v>0.12</v>
      </c>
      <c r="F2272" s="2">
        <v>49.9</v>
      </c>
      <c r="G2272" s="4">
        <v>44461.016707511575</v>
      </c>
      <c r="H2272" s="8">
        <v>44461.0</v>
      </c>
    </row>
    <row r="2273">
      <c r="A2273" s="2">
        <v>0.28</v>
      </c>
      <c r="B2273" s="2">
        <v>233.4</v>
      </c>
      <c r="C2273" s="2">
        <v>7.3</v>
      </c>
      <c r="D2273" s="2">
        <v>2.76</v>
      </c>
      <c r="E2273" s="2">
        <v>0.11</v>
      </c>
      <c r="F2273" s="2">
        <v>50.0</v>
      </c>
      <c r="G2273" s="4">
        <v>44461.016807708336</v>
      </c>
      <c r="H2273" s="8">
        <v>44461.0</v>
      </c>
    </row>
    <row r="2274">
      <c r="A2274" s="2">
        <v>0.31</v>
      </c>
      <c r="B2274" s="2">
        <v>233.3</v>
      </c>
      <c r="C2274" s="2">
        <v>14.4</v>
      </c>
      <c r="D2274" s="2">
        <v>2.76</v>
      </c>
      <c r="E2274" s="2">
        <v>0.2</v>
      </c>
      <c r="F2274" s="2">
        <v>50.0</v>
      </c>
      <c r="G2274" s="4">
        <v>44461.016915740736</v>
      </c>
      <c r="H2274" s="8">
        <v>44461.0</v>
      </c>
    </row>
    <row r="2275">
      <c r="A2275" s="2">
        <v>0.28</v>
      </c>
      <c r="B2275" s="2">
        <v>233.3</v>
      </c>
      <c r="C2275" s="2">
        <v>7.5</v>
      </c>
      <c r="D2275" s="2">
        <v>2.76</v>
      </c>
      <c r="E2275" s="2">
        <v>0.12</v>
      </c>
      <c r="F2275" s="2">
        <v>50.0</v>
      </c>
      <c r="G2275" s="4">
        <v>44461.01701891204</v>
      </c>
      <c r="H2275" s="8">
        <v>44461.0</v>
      </c>
    </row>
    <row r="2276">
      <c r="A2276" s="2">
        <v>0.28</v>
      </c>
      <c r="B2276" s="2">
        <v>233.7</v>
      </c>
      <c r="C2276" s="2">
        <v>7.2</v>
      </c>
      <c r="D2276" s="2">
        <v>2.76</v>
      </c>
      <c r="E2276" s="2">
        <v>0.11</v>
      </c>
      <c r="F2276" s="2">
        <v>50.0</v>
      </c>
      <c r="G2276" s="4">
        <v>44461.017120578705</v>
      </c>
      <c r="H2276" s="8">
        <v>44461.0</v>
      </c>
    </row>
    <row r="2277">
      <c r="A2277" s="2">
        <v>0.29</v>
      </c>
      <c r="B2277" s="2">
        <v>233.6</v>
      </c>
      <c r="C2277" s="2">
        <v>9.0</v>
      </c>
      <c r="D2277" s="2">
        <v>2.76</v>
      </c>
      <c r="E2277" s="2">
        <v>0.13</v>
      </c>
      <c r="F2277" s="2">
        <v>49.9</v>
      </c>
      <c r="G2277" s="4">
        <v>44461.01722084491</v>
      </c>
      <c r="H2277" s="8">
        <v>44461.0</v>
      </c>
    </row>
    <row r="2278">
      <c r="A2278" s="2">
        <v>0.29</v>
      </c>
      <c r="B2278" s="2">
        <v>233.6</v>
      </c>
      <c r="C2278" s="2">
        <v>10.4</v>
      </c>
      <c r="D2278" s="2">
        <v>2.76</v>
      </c>
      <c r="E2278" s="2">
        <v>0.16</v>
      </c>
      <c r="F2278" s="2">
        <v>49.9</v>
      </c>
      <c r="G2278" s="4">
        <v>44461.01732194444</v>
      </c>
      <c r="H2278" s="8">
        <v>44461.0</v>
      </c>
    </row>
    <row r="2279">
      <c r="A2279" s="2">
        <v>0.28</v>
      </c>
      <c r="B2279" s="2">
        <v>233.7</v>
      </c>
      <c r="C2279" s="2">
        <v>7.3</v>
      </c>
      <c r="D2279" s="2">
        <v>2.76</v>
      </c>
      <c r="E2279" s="2">
        <v>0.11</v>
      </c>
      <c r="F2279" s="2">
        <v>49.9</v>
      </c>
      <c r="G2279" s="4">
        <v>44461.01742929398</v>
      </c>
      <c r="H2279" s="8">
        <v>44461.0</v>
      </c>
    </row>
    <row r="2280">
      <c r="A2280" s="2">
        <v>0.29</v>
      </c>
      <c r="B2280" s="2">
        <v>233.6</v>
      </c>
      <c r="C2280" s="2">
        <v>10.0</v>
      </c>
      <c r="D2280" s="2">
        <v>2.76</v>
      </c>
      <c r="E2280" s="2">
        <v>0.15</v>
      </c>
      <c r="F2280" s="2">
        <v>49.9</v>
      </c>
      <c r="G2280" s="4">
        <v>44461.01752825231</v>
      </c>
      <c r="H2280" s="8">
        <v>44461.0</v>
      </c>
    </row>
    <row r="2281">
      <c r="A2281" s="2">
        <v>0.3</v>
      </c>
      <c r="B2281" s="2">
        <v>233.7</v>
      </c>
      <c r="C2281" s="2">
        <v>13.0</v>
      </c>
      <c r="D2281" s="2">
        <v>2.76</v>
      </c>
      <c r="E2281" s="2">
        <v>0.19</v>
      </c>
      <c r="F2281" s="2">
        <v>49.9</v>
      </c>
      <c r="G2281" s="4">
        <v>44461.017629560185</v>
      </c>
      <c r="H2281" s="8">
        <v>44461.0</v>
      </c>
    </row>
    <row r="2282">
      <c r="A2282" s="2">
        <v>0.28</v>
      </c>
      <c r="B2282" s="2">
        <v>233.6</v>
      </c>
      <c r="C2282" s="2">
        <v>7.8</v>
      </c>
      <c r="D2282" s="2">
        <v>2.76</v>
      </c>
      <c r="E2282" s="2">
        <v>0.12</v>
      </c>
      <c r="F2282" s="2">
        <v>50.0</v>
      </c>
      <c r="G2282" s="4">
        <v>44461.017728645835</v>
      </c>
      <c r="H2282" s="8">
        <v>44461.0</v>
      </c>
    </row>
    <row r="2283">
      <c r="A2283" s="2">
        <v>0.29</v>
      </c>
      <c r="B2283" s="2">
        <v>233.5</v>
      </c>
      <c r="C2283" s="2">
        <v>9.4</v>
      </c>
      <c r="D2283" s="2">
        <v>2.76</v>
      </c>
      <c r="E2283" s="2">
        <v>0.14</v>
      </c>
      <c r="F2283" s="2">
        <v>49.9</v>
      </c>
      <c r="G2283" s="4">
        <v>44461.01783141204</v>
      </c>
      <c r="H2283" s="8">
        <v>44461.0</v>
      </c>
    </row>
    <row r="2284">
      <c r="A2284" s="2">
        <v>0.3</v>
      </c>
      <c r="B2284" s="2">
        <v>233.5</v>
      </c>
      <c r="C2284" s="2">
        <v>13.1</v>
      </c>
      <c r="D2284" s="2">
        <v>2.76</v>
      </c>
      <c r="E2284" s="2">
        <v>0.18</v>
      </c>
      <c r="F2284" s="2">
        <v>50.0</v>
      </c>
      <c r="G2284" s="4">
        <v>44461.01793105324</v>
      </c>
      <c r="H2284" s="8">
        <v>44461.0</v>
      </c>
    </row>
    <row r="2285">
      <c r="A2285" s="2">
        <v>0.28</v>
      </c>
      <c r="B2285" s="2">
        <v>233.8</v>
      </c>
      <c r="C2285" s="2">
        <v>7.3</v>
      </c>
      <c r="D2285" s="2">
        <v>2.76</v>
      </c>
      <c r="E2285" s="2">
        <v>0.11</v>
      </c>
      <c r="F2285" s="2">
        <v>50.0</v>
      </c>
      <c r="G2285" s="4">
        <v>44461.018034016204</v>
      </c>
      <c r="H2285" s="8">
        <v>44461.0</v>
      </c>
    </row>
    <row r="2286">
      <c r="A2286" s="2">
        <v>0.28</v>
      </c>
      <c r="B2286" s="2">
        <v>233.9</v>
      </c>
      <c r="C2286" s="2">
        <v>6.9</v>
      </c>
      <c r="D2286" s="2">
        <v>2.76</v>
      </c>
      <c r="E2286" s="2">
        <v>0.11</v>
      </c>
      <c r="F2286" s="2">
        <v>50.0</v>
      </c>
      <c r="G2286" s="4">
        <v>44461.01813496528</v>
      </c>
      <c r="H2286" s="8">
        <v>44461.0</v>
      </c>
    </row>
    <row r="2287">
      <c r="A2287" s="2">
        <v>0.3</v>
      </c>
      <c r="B2287" s="2">
        <v>234.1</v>
      </c>
      <c r="C2287" s="2">
        <v>12.5</v>
      </c>
      <c r="D2287" s="2">
        <v>2.76</v>
      </c>
      <c r="E2287" s="2">
        <v>0.18</v>
      </c>
      <c r="F2287" s="2">
        <v>50.0</v>
      </c>
      <c r="G2287" s="4">
        <v>44461.01823436342</v>
      </c>
      <c r="H2287" s="8">
        <v>44461.0</v>
      </c>
    </row>
    <row r="2288">
      <c r="A2288" s="2">
        <v>0.29</v>
      </c>
      <c r="B2288" s="2">
        <v>234.1</v>
      </c>
      <c r="C2288" s="2">
        <v>10.4</v>
      </c>
      <c r="D2288" s="2">
        <v>2.76</v>
      </c>
      <c r="E2288" s="2">
        <v>0.15</v>
      </c>
      <c r="F2288" s="2">
        <v>50.0</v>
      </c>
      <c r="G2288" s="4">
        <v>44461.01833280093</v>
      </c>
      <c r="H2288" s="8">
        <v>44461.0</v>
      </c>
    </row>
    <row r="2289">
      <c r="A2289" s="2">
        <v>0.28</v>
      </c>
      <c r="B2289" s="2">
        <v>234.2</v>
      </c>
      <c r="C2289" s="2">
        <v>7.5</v>
      </c>
      <c r="D2289" s="2">
        <v>2.76</v>
      </c>
      <c r="E2289" s="2">
        <v>0.11</v>
      </c>
      <c r="F2289" s="2">
        <v>50.0</v>
      </c>
      <c r="G2289" s="4">
        <v>44461.01843326389</v>
      </c>
      <c r="H2289" s="8">
        <v>44461.0</v>
      </c>
    </row>
    <row r="2290">
      <c r="A2290" s="2">
        <v>0.3</v>
      </c>
      <c r="B2290" s="2">
        <v>234.1</v>
      </c>
      <c r="C2290" s="2">
        <v>10.5</v>
      </c>
      <c r="D2290" s="2">
        <v>2.76</v>
      </c>
      <c r="E2290" s="2">
        <v>0.15</v>
      </c>
      <c r="F2290" s="2">
        <v>50.0</v>
      </c>
      <c r="G2290" s="4">
        <v>44461.018531354166</v>
      </c>
      <c r="H2290" s="8">
        <v>44461.0</v>
      </c>
    </row>
    <row r="2291">
      <c r="A2291" s="2">
        <v>0.3</v>
      </c>
      <c r="B2291" s="2">
        <v>234.1</v>
      </c>
      <c r="C2291" s="2">
        <v>12.9</v>
      </c>
      <c r="D2291" s="2">
        <v>2.76</v>
      </c>
      <c r="E2291" s="2">
        <v>0.18</v>
      </c>
      <c r="F2291" s="2">
        <v>50.0</v>
      </c>
      <c r="G2291" s="4">
        <v>44461.018629178245</v>
      </c>
      <c r="H2291" s="8">
        <v>44461.0</v>
      </c>
    </row>
    <row r="2292">
      <c r="A2292" s="2">
        <v>0.28</v>
      </c>
      <c r="B2292" s="2">
        <v>233.9</v>
      </c>
      <c r="C2292" s="2">
        <v>9.8</v>
      </c>
      <c r="D2292" s="2">
        <v>2.76</v>
      </c>
      <c r="E2292" s="2">
        <v>0.15</v>
      </c>
      <c r="F2292" s="2">
        <v>50.0</v>
      </c>
      <c r="G2292" s="4">
        <v>44461.018730717595</v>
      </c>
      <c r="H2292" s="8">
        <v>44461.0</v>
      </c>
    </row>
    <row r="2293">
      <c r="A2293" s="2">
        <v>0.28</v>
      </c>
      <c r="B2293" s="2">
        <v>233.8</v>
      </c>
      <c r="C2293" s="2">
        <v>6.7</v>
      </c>
      <c r="D2293" s="2">
        <v>2.76</v>
      </c>
      <c r="E2293" s="2">
        <v>0.1</v>
      </c>
      <c r="F2293" s="2">
        <v>49.9</v>
      </c>
      <c r="G2293" s="4">
        <v>44461.01883855324</v>
      </c>
      <c r="H2293" s="8">
        <v>44461.0</v>
      </c>
    </row>
    <row r="2294">
      <c r="A2294" s="2">
        <v>0.3</v>
      </c>
      <c r="B2294" s="2">
        <v>233.8</v>
      </c>
      <c r="C2294" s="2">
        <v>13.4</v>
      </c>
      <c r="D2294" s="2">
        <v>2.76</v>
      </c>
      <c r="E2294" s="2">
        <v>0.19</v>
      </c>
      <c r="F2294" s="2">
        <v>50.0</v>
      </c>
      <c r="G2294" s="4">
        <v>44461.018947881945</v>
      </c>
      <c r="H2294" s="8">
        <v>44461.0</v>
      </c>
    </row>
    <row r="2295">
      <c r="A2295" s="2">
        <v>0.28</v>
      </c>
      <c r="B2295" s="2">
        <v>233.4</v>
      </c>
      <c r="C2295" s="2">
        <v>6.9</v>
      </c>
      <c r="D2295" s="2">
        <v>2.76</v>
      </c>
      <c r="E2295" s="2">
        <v>0.11</v>
      </c>
      <c r="F2295" s="2">
        <v>49.9</v>
      </c>
      <c r="G2295" s="4">
        <v>44461.019047141206</v>
      </c>
      <c r="H2295" s="8">
        <v>44461.0</v>
      </c>
    </row>
    <row r="2296">
      <c r="A2296" s="2">
        <v>0.28</v>
      </c>
      <c r="B2296" s="2">
        <v>233.4</v>
      </c>
      <c r="C2296" s="2">
        <v>7.1</v>
      </c>
      <c r="D2296" s="2">
        <v>2.76</v>
      </c>
      <c r="E2296" s="2">
        <v>0.11</v>
      </c>
      <c r="F2296" s="2">
        <v>49.9</v>
      </c>
      <c r="G2296" s="4">
        <v>44461.019148865744</v>
      </c>
      <c r="H2296" s="8">
        <v>44461.0</v>
      </c>
    </row>
    <row r="2297">
      <c r="A2297" s="2">
        <v>0.29</v>
      </c>
      <c r="B2297" s="2">
        <v>233.5</v>
      </c>
      <c r="C2297" s="2">
        <v>12.1</v>
      </c>
      <c r="D2297" s="2">
        <v>2.76</v>
      </c>
      <c r="E2297" s="2">
        <v>0.18</v>
      </c>
      <c r="F2297" s="2">
        <v>49.9</v>
      </c>
      <c r="G2297" s="4">
        <v>44461.019284027774</v>
      </c>
      <c r="H2297" s="8">
        <v>44461.0</v>
      </c>
    </row>
    <row r="2298">
      <c r="A2298" s="2">
        <v>0.28</v>
      </c>
      <c r="B2298" s="2">
        <v>233.4</v>
      </c>
      <c r="C2298" s="2">
        <v>6.6</v>
      </c>
      <c r="D2298" s="2">
        <v>2.76</v>
      </c>
      <c r="E2298" s="2">
        <v>0.1</v>
      </c>
      <c r="F2298" s="2">
        <v>50.0</v>
      </c>
      <c r="G2298" s="4">
        <v>44461.01939587963</v>
      </c>
      <c r="H2298" s="8">
        <v>44461.0</v>
      </c>
    </row>
    <row r="2299">
      <c r="A2299" s="2">
        <v>0.28</v>
      </c>
      <c r="B2299" s="2">
        <v>233.4</v>
      </c>
      <c r="C2299" s="2">
        <v>7.8</v>
      </c>
      <c r="D2299" s="2">
        <v>2.76</v>
      </c>
      <c r="E2299" s="2">
        <v>0.12</v>
      </c>
      <c r="F2299" s="2">
        <v>50.0</v>
      </c>
      <c r="G2299" s="4">
        <v>44461.019501284725</v>
      </c>
      <c r="H2299" s="8">
        <v>44461.0</v>
      </c>
    </row>
    <row r="2300">
      <c r="A2300" s="2">
        <v>0.28</v>
      </c>
      <c r="B2300" s="2">
        <v>233.5</v>
      </c>
      <c r="C2300" s="2">
        <v>7.0</v>
      </c>
      <c r="D2300" s="2">
        <v>2.76</v>
      </c>
      <c r="E2300" s="2">
        <v>0.11</v>
      </c>
      <c r="F2300" s="2">
        <v>50.0</v>
      </c>
      <c r="G2300" s="4">
        <v>44461.01960601852</v>
      </c>
      <c r="H2300" s="8">
        <v>44461.0</v>
      </c>
    </row>
    <row r="2301">
      <c r="A2301" s="2">
        <v>0.28</v>
      </c>
      <c r="B2301" s="2">
        <v>233.6</v>
      </c>
      <c r="C2301" s="2">
        <v>6.8</v>
      </c>
      <c r="D2301" s="2">
        <v>2.76</v>
      </c>
      <c r="E2301" s="2">
        <v>0.11</v>
      </c>
      <c r="F2301" s="2">
        <v>50.0</v>
      </c>
      <c r="G2301" s="4">
        <v>44461.01975040509</v>
      </c>
      <c r="H2301" s="8">
        <v>44461.0</v>
      </c>
    </row>
    <row r="2302">
      <c r="A2302" s="2">
        <v>0.28</v>
      </c>
      <c r="B2302" s="2">
        <v>233.6</v>
      </c>
      <c r="C2302" s="2">
        <v>7.7</v>
      </c>
      <c r="D2302" s="2">
        <v>2.76</v>
      </c>
      <c r="E2302" s="2">
        <v>0.12</v>
      </c>
      <c r="F2302" s="2">
        <v>50.0</v>
      </c>
      <c r="G2302" s="4">
        <v>44461.019853854166</v>
      </c>
      <c r="H2302" s="8">
        <v>44461.0</v>
      </c>
    </row>
    <row r="2303">
      <c r="A2303" s="2">
        <v>0.31</v>
      </c>
      <c r="B2303" s="2">
        <v>233.6</v>
      </c>
      <c r="C2303" s="2">
        <v>13.7</v>
      </c>
      <c r="D2303" s="2">
        <v>2.76</v>
      </c>
      <c r="E2303" s="2">
        <v>0.19</v>
      </c>
      <c r="F2303" s="2">
        <v>50.0</v>
      </c>
      <c r="G2303" s="4">
        <v>44461.0199540625</v>
      </c>
      <c r="H2303" s="8">
        <v>44461.0</v>
      </c>
    </row>
    <row r="2304">
      <c r="A2304" s="2">
        <v>0.28</v>
      </c>
      <c r="B2304" s="2">
        <v>233.5</v>
      </c>
      <c r="C2304" s="2">
        <v>7.6</v>
      </c>
      <c r="D2304" s="2">
        <v>2.76</v>
      </c>
      <c r="E2304" s="2">
        <v>0.12</v>
      </c>
      <c r="F2304" s="2">
        <v>50.0</v>
      </c>
      <c r="G2304" s="4">
        <v>44461.0200652662</v>
      </c>
      <c r="H2304" s="8">
        <v>44461.0</v>
      </c>
    </row>
    <row r="2305">
      <c r="A2305" s="2">
        <v>0.28</v>
      </c>
      <c r="B2305" s="2">
        <v>233.5</v>
      </c>
      <c r="C2305" s="2">
        <v>6.8</v>
      </c>
      <c r="D2305" s="2">
        <v>2.76</v>
      </c>
      <c r="E2305" s="2">
        <v>0.11</v>
      </c>
      <c r="F2305" s="2">
        <v>50.0</v>
      </c>
      <c r="G2305" s="4">
        <v>44461.02016587963</v>
      </c>
      <c r="H2305" s="8">
        <v>44461.0</v>
      </c>
    </row>
    <row r="2306">
      <c r="A2306" s="2">
        <v>0.31</v>
      </c>
      <c r="B2306" s="2">
        <v>233.5</v>
      </c>
      <c r="C2306" s="2">
        <v>13.4</v>
      </c>
      <c r="D2306" s="2">
        <v>2.76</v>
      </c>
      <c r="E2306" s="2">
        <v>0.19</v>
      </c>
      <c r="F2306" s="2">
        <v>50.0</v>
      </c>
      <c r="G2306" s="4">
        <v>44461.020261921294</v>
      </c>
      <c r="H2306" s="8">
        <v>44461.0</v>
      </c>
    </row>
    <row r="2307">
      <c r="A2307" s="2">
        <v>0.28</v>
      </c>
      <c r="B2307" s="2">
        <v>233.5</v>
      </c>
      <c r="C2307" s="2">
        <v>9.5</v>
      </c>
      <c r="D2307" s="2">
        <v>2.76</v>
      </c>
      <c r="E2307" s="2">
        <v>0.14</v>
      </c>
      <c r="F2307" s="2">
        <v>50.0</v>
      </c>
      <c r="G2307" s="4">
        <v>44461.020359664355</v>
      </c>
      <c r="H2307" s="8">
        <v>44461.0</v>
      </c>
    </row>
    <row r="2308">
      <c r="A2308" s="2">
        <v>0.28</v>
      </c>
      <c r="B2308" s="2">
        <v>233.5</v>
      </c>
      <c r="C2308" s="2">
        <v>7.2</v>
      </c>
      <c r="D2308" s="2">
        <v>2.76</v>
      </c>
      <c r="E2308" s="2">
        <v>0.11</v>
      </c>
      <c r="F2308" s="2">
        <v>50.0</v>
      </c>
      <c r="G2308" s="4">
        <v>44461.0204799537</v>
      </c>
      <c r="H2308" s="8">
        <v>44461.0</v>
      </c>
    </row>
    <row r="2309">
      <c r="A2309" s="2">
        <v>0.29</v>
      </c>
      <c r="B2309" s="2">
        <v>233.4</v>
      </c>
      <c r="C2309" s="2">
        <v>11.7</v>
      </c>
      <c r="D2309" s="2">
        <v>2.76</v>
      </c>
      <c r="E2309" s="2">
        <v>0.17</v>
      </c>
      <c r="F2309" s="2">
        <v>49.9</v>
      </c>
      <c r="G2309" s="4">
        <v>44461.020583668986</v>
      </c>
      <c r="H2309" s="8">
        <v>44461.0</v>
      </c>
    </row>
    <row r="2310">
      <c r="A2310" s="2">
        <v>0.28</v>
      </c>
      <c r="B2310" s="2">
        <v>233.9</v>
      </c>
      <c r="C2310" s="2">
        <v>6.8</v>
      </c>
      <c r="D2310" s="2">
        <v>2.76</v>
      </c>
      <c r="E2310" s="2">
        <v>0.1</v>
      </c>
      <c r="F2310" s="2">
        <v>50.0</v>
      </c>
      <c r="G2310" s="4">
        <v>44461.02068706018</v>
      </c>
      <c r="H2310" s="8">
        <v>44461.0</v>
      </c>
    </row>
    <row r="2311">
      <c r="A2311" s="2">
        <v>0.28</v>
      </c>
      <c r="B2311" s="2">
        <v>233.3</v>
      </c>
      <c r="C2311" s="2">
        <v>7.4</v>
      </c>
      <c r="D2311" s="2">
        <v>2.76</v>
      </c>
      <c r="E2311" s="2">
        <v>0.11</v>
      </c>
      <c r="F2311" s="2">
        <v>49.9</v>
      </c>
      <c r="G2311" s="4">
        <v>44461.020784039356</v>
      </c>
      <c r="H2311" s="8">
        <v>44461.0</v>
      </c>
    </row>
    <row r="2312">
      <c r="A2312" s="2">
        <v>0.3</v>
      </c>
      <c r="B2312" s="2">
        <v>233.3</v>
      </c>
      <c r="C2312" s="2">
        <v>13.1</v>
      </c>
      <c r="D2312" s="2">
        <v>2.76</v>
      </c>
      <c r="E2312" s="2">
        <v>0.18</v>
      </c>
      <c r="F2312" s="2">
        <v>49.9</v>
      </c>
      <c r="G2312" s="4">
        <v>44461.02088127314</v>
      </c>
      <c r="H2312" s="8">
        <v>44461.0</v>
      </c>
    </row>
    <row r="2313">
      <c r="A2313" s="2">
        <v>0.29</v>
      </c>
      <c r="B2313" s="2">
        <v>233.4</v>
      </c>
      <c r="C2313" s="2">
        <v>11.7</v>
      </c>
      <c r="D2313" s="2">
        <v>2.76</v>
      </c>
      <c r="E2313" s="2">
        <v>0.17</v>
      </c>
      <c r="F2313" s="2">
        <v>50.0</v>
      </c>
      <c r="G2313" s="4">
        <v>44461.02097726852</v>
      </c>
      <c r="H2313" s="8">
        <v>44461.0</v>
      </c>
    </row>
    <row r="2314">
      <c r="A2314" s="2">
        <v>0.28</v>
      </c>
      <c r="B2314" s="2">
        <v>233.5</v>
      </c>
      <c r="C2314" s="2">
        <v>7.2</v>
      </c>
      <c r="D2314" s="2">
        <v>2.76</v>
      </c>
      <c r="E2314" s="2">
        <v>0.11</v>
      </c>
      <c r="F2314" s="2">
        <v>50.0</v>
      </c>
      <c r="G2314" s="4">
        <v>44461.02107621528</v>
      </c>
      <c r="H2314" s="8">
        <v>44461.0</v>
      </c>
    </row>
    <row r="2315">
      <c r="A2315" s="2">
        <v>0.28</v>
      </c>
      <c r="B2315" s="2">
        <v>234.5</v>
      </c>
      <c r="C2315" s="2">
        <v>7.2</v>
      </c>
      <c r="D2315" s="2">
        <v>2.76</v>
      </c>
      <c r="E2315" s="2">
        <v>0.11</v>
      </c>
      <c r="F2315" s="2">
        <v>50.0</v>
      </c>
      <c r="G2315" s="4">
        <v>44461.02119273148</v>
      </c>
      <c r="H2315" s="8">
        <v>44461.0</v>
      </c>
    </row>
    <row r="2316">
      <c r="A2316" s="2">
        <v>0.28</v>
      </c>
      <c r="B2316" s="2">
        <v>234.6</v>
      </c>
      <c r="C2316" s="2">
        <v>8.3</v>
      </c>
      <c r="D2316" s="2">
        <v>2.76</v>
      </c>
      <c r="E2316" s="2">
        <v>0.13</v>
      </c>
      <c r="F2316" s="2">
        <v>50.0</v>
      </c>
      <c r="G2316" s="4">
        <v>44461.02129322916</v>
      </c>
      <c r="H2316" s="8">
        <v>44461.0</v>
      </c>
    </row>
    <row r="2317">
      <c r="A2317" s="2">
        <v>0.28</v>
      </c>
      <c r="B2317" s="2">
        <v>234.6</v>
      </c>
      <c r="C2317" s="2">
        <v>7.2</v>
      </c>
      <c r="D2317" s="2">
        <v>2.76</v>
      </c>
      <c r="E2317" s="2">
        <v>0.11</v>
      </c>
      <c r="F2317" s="2">
        <v>50.0</v>
      </c>
      <c r="G2317" s="4">
        <v>44461.02138953704</v>
      </c>
      <c r="H2317" s="8">
        <v>44461.0</v>
      </c>
    </row>
    <row r="2318">
      <c r="A2318" s="2">
        <v>0.28</v>
      </c>
      <c r="B2318" s="2">
        <v>234.6</v>
      </c>
      <c r="C2318" s="2">
        <v>7.1</v>
      </c>
      <c r="D2318" s="2">
        <v>2.76</v>
      </c>
      <c r="E2318" s="2">
        <v>0.11</v>
      </c>
      <c r="F2318" s="2">
        <v>50.0</v>
      </c>
      <c r="G2318" s="4">
        <v>44461.02148604167</v>
      </c>
      <c r="H2318" s="8">
        <v>44461.0</v>
      </c>
    </row>
    <row r="2319">
      <c r="A2319" s="2">
        <v>0.31</v>
      </c>
      <c r="B2319" s="2">
        <v>234.7</v>
      </c>
      <c r="C2319" s="2">
        <v>13.4</v>
      </c>
      <c r="D2319" s="2">
        <v>2.76</v>
      </c>
      <c r="E2319" s="2">
        <v>0.19</v>
      </c>
      <c r="F2319" s="2">
        <v>50.0</v>
      </c>
      <c r="G2319" s="4">
        <v>44461.0215809838</v>
      </c>
      <c r="H2319" s="8">
        <v>44461.0</v>
      </c>
    </row>
    <row r="2320">
      <c r="A2320" s="2">
        <v>0.29</v>
      </c>
      <c r="B2320" s="2">
        <v>234.7</v>
      </c>
      <c r="C2320" s="2">
        <v>11.0</v>
      </c>
      <c r="D2320" s="2">
        <v>2.76</v>
      </c>
      <c r="E2320" s="2">
        <v>0.16</v>
      </c>
      <c r="F2320" s="2">
        <v>50.0</v>
      </c>
      <c r="G2320" s="4">
        <v>44461.021678634264</v>
      </c>
      <c r="H2320" s="8">
        <v>44461.0</v>
      </c>
    </row>
    <row r="2321">
      <c r="A2321" s="2">
        <v>0.28</v>
      </c>
      <c r="B2321" s="2">
        <v>234.7</v>
      </c>
      <c r="C2321" s="2">
        <v>7.1</v>
      </c>
      <c r="D2321" s="2">
        <v>2.76</v>
      </c>
      <c r="E2321" s="2">
        <v>0.11</v>
      </c>
      <c r="F2321" s="2">
        <v>50.0</v>
      </c>
      <c r="G2321" s="4">
        <v>44461.02177782408</v>
      </c>
      <c r="H2321" s="8">
        <v>44461.0</v>
      </c>
    </row>
    <row r="2322">
      <c r="A2322" s="2">
        <v>0.28</v>
      </c>
      <c r="B2322" s="2">
        <v>234.7</v>
      </c>
      <c r="C2322" s="2">
        <v>7.5</v>
      </c>
      <c r="D2322" s="2">
        <v>2.76</v>
      </c>
      <c r="E2322" s="2">
        <v>0.11</v>
      </c>
      <c r="F2322" s="2">
        <v>50.0</v>
      </c>
      <c r="G2322" s="4">
        <v>44461.02187519676</v>
      </c>
      <c r="H2322" s="8">
        <v>44461.0</v>
      </c>
    </row>
    <row r="2323">
      <c r="A2323" s="2">
        <v>0.29</v>
      </c>
      <c r="B2323" s="2">
        <v>234.8</v>
      </c>
      <c r="C2323" s="2">
        <v>8.8</v>
      </c>
      <c r="D2323" s="2">
        <v>2.76</v>
      </c>
      <c r="E2323" s="2">
        <v>0.13</v>
      </c>
      <c r="F2323" s="2">
        <v>50.0</v>
      </c>
      <c r="G2323" s="4">
        <v>44461.02197447917</v>
      </c>
      <c r="H2323" s="8">
        <v>44461.0</v>
      </c>
    </row>
    <row r="2324">
      <c r="A2324" s="2">
        <v>0.29</v>
      </c>
      <c r="B2324" s="2">
        <v>234.8</v>
      </c>
      <c r="C2324" s="2">
        <v>11.2</v>
      </c>
      <c r="D2324" s="2">
        <v>2.76</v>
      </c>
      <c r="E2324" s="2">
        <v>0.16</v>
      </c>
      <c r="F2324" s="2">
        <v>50.0</v>
      </c>
      <c r="G2324" s="4">
        <v>44461.022074374996</v>
      </c>
      <c r="H2324" s="8">
        <v>44461.0</v>
      </c>
    </row>
    <row r="2325">
      <c r="A2325" s="2">
        <v>0.28</v>
      </c>
      <c r="B2325" s="2">
        <v>234.8</v>
      </c>
      <c r="C2325" s="2">
        <v>7.2</v>
      </c>
      <c r="D2325" s="2">
        <v>2.76</v>
      </c>
      <c r="E2325" s="2">
        <v>0.11</v>
      </c>
      <c r="F2325" s="2">
        <v>50.0</v>
      </c>
      <c r="G2325" s="4">
        <v>44461.0222584838</v>
      </c>
      <c r="H2325" s="8">
        <v>44461.0</v>
      </c>
    </row>
    <row r="2326">
      <c r="A2326" s="2">
        <v>0.28</v>
      </c>
      <c r="B2326" s="2">
        <v>234.8</v>
      </c>
      <c r="C2326" s="2">
        <v>7.1</v>
      </c>
      <c r="D2326" s="2">
        <v>2.76</v>
      </c>
      <c r="E2326" s="2">
        <v>0.11</v>
      </c>
      <c r="F2326" s="2">
        <v>50.0</v>
      </c>
      <c r="G2326" s="4">
        <v>44461.02236328703</v>
      </c>
      <c r="H2326" s="8">
        <v>44461.0</v>
      </c>
    </row>
    <row r="2327">
      <c r="A2327" s="2">
        <v>0.28</v>
      </c>
      <c r="B2327" s="2">
        <v>234.8</v>
      </c>
      <c r="C2327" s="2">
        <v>9.9</v>
      </c>
      <c r="D2327" s="2">
        <v>2.76</v>
      </c>
      <c r="E2327" s="2">
        <v>0.15</v>
      </c>
      <c r="F2327" s="2">
        <v>49.9</v>
      </c>
      <c r="G2327" s="4">
        <v>44461.022469814816</v>
      </c>
      <c r="H2327" s="8">
        <v>44461.0</v>
      </c>
    </row>
    <row r="2328">
      <c r="A2328" s="2">
        <v>0.3</v>
      </c>
      <c r="B2328" s="2">
        <v>234.6</v>
      </c>
      <c r="C2328" s="2">
        <v>11.1</v>
      </c>
      <c r="D2328" s="2">
        <v>2.76</v>
      </c>
      <c r="E2328" s="2">
        <v>0.16</v>
      </c>
      <c r="F2328" s="2">
        <v>49.9</v>
      </c>
      <c r="G2328" s="4">
        <v>44461.02260236111</v>
      </c>
      <c r="H2328" s="8">
        <v>44461.0</v>
      </c>
    </row>
    <row r="2329">
      <c r="A2329" s="2">
        <v>0.3</v>
      </c>
      <c r="B2329" s="2">
        <v>234.6</v>
      </c>
      <c r="C2329" s="2">
        <v>13.2</v>
      </c>
      <c r="D2329" s="2">
        <v>2.76</v>
      </c>
      <c r="E2329" s="2">
        <v>0.19</v>
      </c>
      <c r="F2329" s="2">
        <v>50.0</v>
      </c>
      <c r="G2329" s="4">
        <v>44461.02269914352</v>
      </c>
      <c r="H2329" s="8">
        <v>44461.0</v>
      </c>
    </row>
    <row r="2330">
      <c r="A2330" s="2">
        <v>0.28</v>
      </c>
      <c r="B2330" s="2">
        <v>234.6</v>
      </c>
      <c r="C2330" s="2">
        <v>7.3</v>
      </c>
      <c r="D2330" s="2">
        <v>2.76</v>
      </c>
      <c r="E2330" s="2">
        <v>0.11</v>
      </c>
      <c r="F2330" s="2">
        <v>50.0</v>
      </c>
      <c r="G2330" s="4">
        <v>44461.02279837963</v>
      </c>
      <c r="H2330" s="8">
        <v>44461.0</v>
      </c>
    </row>
    <row r="2331">
      <c r="A2331" s="2">
        <v>0.28</v>
      </c>
      <c r="B2331" s="2">
        <v>234.6</v>
      </c>
      <c r="C2331" s="2">
        <v>7.1</v>
      </c>
      <c r="D2331" s="2">
        <v>2.76</v>
      </c>
      <c r="E2331" s="2">
        <v>0.11</v>
      </c>
      <c r="F2331" s="2">
        <v>50.0</v>
      </c>
      <c r="G2331" s="4">
        <v>44461.02290195602</v>
      </c>
      <c r="H2331" s="8">
        <v>44461.0</v>
      </c>
    </row>
    <row r="2332">
      <c r="A2332" s="2">
        <v>0.31</v>
      </c>
      <c r="B2332" s="2">
        <v>234.7</v>
      </c>
      <c r="C2332" s="2">
        <v>13.0</v>
      </c>
      <c r="D2332" s="2">
        <v>2.76</v>
      </c>
      <c r="E2332" s="2">
        <v>0.18</v>
      </c>
      <c r="F2332" s="2">
        <v>50.0</v>
      </c>
      <c r="G2332" s="4">
        <v>44461.02300652778</v>
      </c>
      <c r="H2332" s="8">
        <v>44461.0</v>
      </c>
    </row>
    <row r="2333">
      <c r="A2333" s="2">
        <v>0.28</v>
      </c>
      <c r="B2333" s="2">
        <v>234.8</v>
      </c>
      <c r="C2333" s="2">
        <v>6.5</v>
      </c>
      <c r="D2333" s="2">
        <v>2.76</v>
      </c>
      <c r="E2333" s="2">
        <v>0.1</v>
      </c>
      <c r="F2333" s="2">
        <v>50.0</v>
      </c>
      <c r="G2333" s="4">
        <v>44461.023138125005</v>
      </c>
      <c r="H2333" s="8">
        <v>44461.0</v>
      </c>
    </row>
    <row r="2334">
      <c r="A2334" s="2">
        <v>0.31</v>
      </c>
      <c r="B2334" s="2">
        <v>234.7</v>
      </c>
      <c r="C2334" s="2">
        <v>13.6</v>
      </c>
      <c r="D2334" s="2">
        <v>2.76</v>
      </c>
      <c r="E2334" s="2">
        <v>0.19</v>
      </c>
      <c r="F2334" s="2">
        <v>50.0</v>
      </c>
      <c r="G2334" s="4">
        <v>44461.023239988426</v>
      </c>
      <c r="H2334" s="8">
        <v>44461.0</v>
      </c>
    </row>
    <row r="2335">
      <c r="A2335" s="2">
        <v>0.28</v>
      </c>
      <c r="B2335" s="2">
        <v>234.4</v>
      </c>
      <c r="C2335" s="2">
        <v>7.8</v>
      </c>
      <c r="D2335" s="2">
        <v>2.76</v>
      </c>
      <c r="E2335" s="2">
        <v>0.12</v>
      </c>
      <c r="F2335" s="2">
        <v>50.0</v>
      </c>
      <c r="G2335" s="4">
        <v>44461.023335000005</v>
      </c>
      <c r="H2335" s="8">
        <v>44461.0</v>
      </c>
    </row>
    <row r="2336">
      <c r="A2336" s="2">
        <v>0.28</v>
      </c>
      <c r="B2336" s="2">
        <v>234.5</v>
      </c>
      <c r="C2336" s="2">
        <v>6.1</v>
      </c>
      <c r="D2336" s="2">
        <v>2.76</v>
      </c>
      <c r="E2336" s="2">
        <v>0.09</v>
      </c>
      <c r="F2336" s="2">
        <v>50.0</v>
      </c>
      <c r="G2336" s="4">
        <v>44461.02343453704</v>
      </c>
      <c r="H2336" s="8">
        <v>44461.0</v>
      </c>
    </row>
    <row r="2337">
      <c r="A2337" s="2">
        <v>0.3</v>
      </c>
      <c r="B2337" s="2">
        <v>234.4</v>
      </c>
      <c r="C2337" s="2">
        <v>11.2</v>
      </c>
      <c r="D2337" s="2">
        <v>2.76</v>
      </c>
      <c r="E2337" s="2">
        <v>0.16</v>
      </c>
      <c r="F2337" s="2">
        <v>50.0</v>
      </c>
      <c r="G2337" s="4">
        <v>44461.02353583333</v>
      </c>
      <c r="H2337" s="8">
        <v>44461.0</v>
      </c>
    </row>
    <row r="2338">
      <c r="A2338" s="2">
        <v>0.29</v>
      </c>
      <c r="B2338" s="2">
        <v>234.4</v>
      </c>
      <c r="C2338" s="2">
        <v>11.7</v>
      </c>
      <c r="D2338" s="2">
        <v>2.76</v>
      </c>
      <c r="E2338" s="2">
        <v>0.17</v>
      </c>
      <c r="F2338" s="2">
        <v>50.0</v>
      </c>
      <c r="G2338" s="4">
        <v>44461.023635798614</v>
      </c>
      <c r="H2338" s="8">
        <v>44461.0</v>
      </c>
    </row>
    <row r="2339">
      <c r="A2339" s="2">
        <v>0.28</v>
      </c>
      <c r="B2339" s="2">
        <v>234.4</v>
      </c>
      <c r="C2339" s="2">
        <v>6.9</v>
      </c>
      <c r="D2339" s="2">
        <v>2.76</v>
      </c>
      <c r="E2339" s="2">
        <v>0.11</v>
      </c>
      <c r="F2339" s="2">
        <v>50.0</v>
      </c>
      <c r="G2339" s="4">
        <v>44461.02373259259</v>
      </c>
      <c r="H2339" s="8">
        <v>44461.0</v>
      </c>
    </row>
    <row r="2340">
      <c r="A2340" s="2">
        <v>0.28</v>
      </c>
      <c r="B2340" s="2">
        <v>234.3</v>
      </c>
      <c r="C2340" s="2">
        <v>7.6</v>
      </c>
      <c r="D2340" s="2">
        <v>2.76</v>
      </c>
      <c r="E2340" s="2">
        <v>0.12</v>
      </c>
      <c r="F2340" s="2">
        <v>50.0</v>
      </c>
      <c r="G2340" s="4">
        <v>44461.0238353125</v>
      </c>
      <c r="H2340" s="8">
        <v>44461.0</v>
      </c>
    </row>
    <row r="2341">
      <c r="A2341" s="2">
        <v>0.29</v>
      </c>
      <c r="B2341" s="2">
        <v>234.3</v>
      </c>
      <c r="C2341" s="2">
        <v>9.8</v>
      </c>
      <c r="D2341" s="2">
        <v>2.76</v>
      </c>
      <c r="E2341" s="2">
        <v>0.14</v>
      </c>
      <c r="F2341" s="2">
        <v>50.0</v>
      </c>
      <c r="G2341" s="4">
        <v>44461.023935219906</v>
      </c>
      <c r="H2341" s="8">
        <v>44461.0</v>
      </c>
    </row>
    <row r="2342">
      <c r="A2342" s="2">
        <v>0.27</v>
      </c>
      <c r="B2342" s="2">
        <v>234.2</v>
      </c>
      <c r="C2342" s="2">
        <v>6.0</v>
      </c>
      <c r="D2342" s="2">
        <v>2.76</v>
      </c>
      <c r="E2342" s="2">
        <v>0.09</v>
      </c>
      <c r="F2342" s="2">
        <v>50.0</v>
      </c>
      <c r="G2342" s="4">
        <v>44461.024040833334</v>
      </c>
      <c r="H2342" s="8">
        <v>44461.0</v>
      </c>
    </row>
    <row r="2343">
      <c r="A2343" s="2">
        <v>0.28</v>
      </c>
      <c r="B2343" s="2">
        <v>234.3</v>
      </c>
      <c r="C2343" s="2">
        <v>7.5</v>
      </c>
      <c r="D2343" s="2">
        <v>2.76</v>
      </c>
      <c r="E2343" s="2">
        <v>0.11</v>
      </c>
      <c r="F2343" s="2">
        <v>50.0</v>
      </c>
      <c r="G2343" s="4">
        <v>44461.024146041666</v>
      </c>
      <c r="H2343" s="8">
        <v>44461.0</v>
      </c>
    </row>
    <row r="2344">
      <c r="A2344" s="2">
        <v>0.3</v>
      </c>
      <c r="B2344" s="2">
        <v>234.2</v>
      </c>
      <c r="C2344" s="2">
        <v>12.9</v>
      </c>
      <c r="D2344" s="2">
        <v>2.76</v>
      </c>
      <c r="E2344" s="2">
        <v>0.18</v>
      </c>
      <c r="F2344" s="2">
        <v>50.0</v>
      </c>
      <c r="G2344" s="4">
        <v>44461.02425479167</v>
      </c>
      <c r="H2344" s="8">
        <v>44461.0</v>
      </c>
    </row>
    <row r="2345">
      <c r="A2345" s="2">
        <v>0.28</v>
      </c>
      <c r="B2345" s="2">
        <v>234.0</v>
      </c>
      <c r="C2345" s="2">
        <v>7.1</v>
      </c>
      <c r="D2345" s="2">
        <v>2.76</v>
      </c>
      <c r="E2345" s="2">
        <v>0.11</v>
      </c>
      <c r="F2345" s="2">
        <v>50.0</v>
      </c>
      <c r="G2345" s="4">
        <v>44461.024358738425</v>
      </c>
      <c r="H2345" s="8">
        <v>44461.0</v>
      </c>
    </row>
    <row r="2346">
      <c r="A2346" s="2">
        <v>0.28</v>
      </c>
      <c r="B2346" s="2">
        <v>233.9</v>
      </c>
      <c r="C2346" s="2">
        <v>7.4</v>
      </c>
      <c r="D2346" s="2">
        <v>2.76</v>
      </c>
      <c r="E2346" s="2">
        <v>0.11</v>
      </c>
      <c r="F2346" s="2">
        <v>49.9</v>
      </c>
      <c r="G2346" s="4">
        <v>44461.02445548611</v>
      </c>
      <c r="H2346" s="8">
        <v>44461.0</v>
      </c>
    </row>
    <row r="2347">
      <c r="A2347" s="2">
        <v>0.29</v>
      </c>
      <c r="B2347" s="2">
        <v>234.1</v>
      </c>
      <c r="C2347" s="2">
        <v>8.6</v>
      </c>
      <c r="D2347" s="2">
        <v>2.76</v>
      </c>
      <c r="E2347" s="2">
        <v>0.13</v>
      </c>
      <c r="F2347" s="2">
        <v>49.9</v>
      </c>
      <c r="G2347" s="4">
        <v>44461.02455714121</v>
      </c>
      <c r="H2347" s="8">
        <v>44461.0</v>
      </c>
    </row>
    <row r="2348">
      <c r="A2348" s="2">
        <v>0.29</v>
      </c>
      <c r="B2348" s="2">
        <v>234.1</v>
      </c>
      <c r="C2348" s="2">
        <v>10.5</v>
      </c>
      <c r="D2348" s="2">
        <v>2.76</v>
      </c>
      <c r="E2348" s="2">
        <v>0.16</v>
      </c>
      <c r="F2348" s="2">
        <v>50.0</v>
      </c>
      <c r="G2348" s="4">
        <v>44461.02465836806</v>
      </c>
      <c r="H2348" s="8">
        <v>44461.0</v>
      </c>
    </row>
    <row r="2349">
      <c r="A2349" s="2">
        <v>0.27</v>
      </c>
      <c r="B2349" s="2">
        <v>234.1</v>
      </c>
      <c r="C2349" s="2">
        <v>6.1</v>
      </c>
      <c r="D2349" s="2">
        <v>2.76</v>
      </c>
      <c r="E2349" s="2">
        <v>0.1</v>
      </c>
      <c r="F2349" s="2">
        <v>50.0</v>
      </c>
      <c r="G2349" s="4">
        <v>44461.02475590278</v>
      </c>
      <c r="H2349" s="8">
        <v>44461.0</v>
      </c>
    </row>
    <row r="2350">
      <c r="A2350" s="2">
        <v>0.29</v>
      </c>
      <c r="B2350" s="2">
        <v>234.1</v>
      </c>
      <c r="C2350" s="2">
        <v>8.7</v>
      </c>
      <c r="D2350" s="2">
        <v>2.76</v>
      </c>
      <c r="E2350" s="2">
        <v>0.13</v>
      </c>
      <c r="F2350" s="2">
        <v>50.0</v>
      </c>
      <c r="G2350" s="4">
        <v>44461.0248575</v>
      </c>
      <c r="H2350" s="8">
        <v>44461.0</v>
      </c>
    </row>
    <row r="2351">
      <c r="A2351" s="2">
        <v>0.3</v>
      </c>
      <c r="B2351" s="2">
        <v>234.6</v>
      </c>
      <c r="C2351" s="2">
        <v>12.6</v>
      </c>
      <c r="D2351" s="2">
        <v>2.76</v>
      </c>
      <c r="E2351" s="2">
        <v>0.18</v>
      </c>
      <c r="F2351" s="2">
        <v>50.0</v>
      </c>
      <c r="G2351" s="4">
        <v>44461.02495877315</v>
      </c>
      <c r="H2351" s="8">
        <v>44461.0</v>
      </c>
    </row>
    <row r="2352">
      <c r="A2352" s="2">
        <v>0.28</v>
      </c>
      <c r="B2352" s="2">
        <v>234.4</v>
      </c>
      <c r="C2352" s="2">
        <v>8.2</v>
      </c>
      <c r="D2352" s="2">
        <v>2.76</v>
      </c>
      <c r="E2352" s="2">
        <v>0.12</v>
      </c>
      <c r="F2352" s="2">
        <v>50.0</v>
      </c>
      <c r="G2352" s="4">
        <v>44461.02505431713</v>
      </c>
      <c r="H2352" s="8">
        <v>44461.0</v>
      </c>
    </row>
    <row r="2353">
      <c r="A2353" s="2">
        <v>0.28</v>
      </c>
      <c r="B2353" s="2">
        <v>234.4</v>
      </c>
      <c r="C2353" s="2">
        <v>6.5</v>
      </c>
      <c r="D2353" s="2">
        <v>2.76</v>
      </c>
      <c r="E2353" s="2">
        <v>0.1</v>
      </c>
      <c r="F2353" s="2">
        <v>50.0</v>
      </c>
      <c r="G2353" s="4">
        <v>44461.02515425926</v>
      </c>
      <c r="H2353" s="8">
        <v>44461.0</v>
      </c>
    </row>
    <row r="2354">
      <c r="A2354" s="2">
        <v>0.3</v>
      </c>
      <c r="B2354" s="2">
        <v>234.4</v>
      </c>
      <c r="C2354" s="2">
        <v>10.8</v>
      </c>
      <c r="D2354" s="2">
        <v>2.76</v>
      </c>
      <c r="E2354" s="2">
        <v>0.16</v>
      </c>
      <c r="F2354" s="2">
        <v>50.0</v>
      </c>
      <c r="G2354" s="4">
        <v>44461.02525586805</v>
      </c>
      <c r="H2354" s="8">
        <v>44461.0</v>
      </c>
    </row>
    <row r="2355">
      <c r="A2355" s="2">
        <v>0.3</v>
      </c>
      <c r="B2355" s="2">
        <v>234.5</v>
      </c>
      <c r="C2355" s="2">
        <v>13.0</v>
      </c>
      <c r="D2355" s="2">
        <v>2.76</v>
      </c>
      <c r="E2355" s="2">
        <v>0.18</v>
      </c>
      <c r="F2355" s="2">
        <v>50.0</v>
      </c>
      <c r="G2355" s="4">
        <v>44461.02535532408</v>
      </c>
      <c r="H2355" s="8">
        <v>44461.0</v>
      </c>
    </row>
    <row r="2356">
      <c r="A2356" s="2">
        <v>0.28</v>
      </c>
      <c r="B2356" s="2">
        <v>234.6</v>
      </c>
      <c r="C2356" s="2">
        <v>7.3</v>
      </c>
      <c r="D2356" s="2">
        <v>2.76</v>
      </c>
      <c r="E2356" s="2">
        <v>0.11</v>
      </c>
      <c r="F2356" s="2">
        <v>50.0</v>
      </c>
      <c r="G2356" s="4">
        <v>44461.02545204861</v>
      </c>
      <c r="H2356" s="8">
        <v>44461.0</v>
      </c>
    </row>
    <row r="2357">
      <c r="A2357" s="2">
        <v>0.28</v>
      </c>
      <c r="B2357" s="2">
        <v>234.2</v>
      </c>
      <c r="C2357" s="2">
        <v>7.0</v>
      </c>
      <c r="D2357" s="2">
        <v>2.76</v>
      </c>
      <c r="E2357" s="2">
        <v>0.11</v>
      </c>
      <c r="F2357" s="2">
        <v>50.0</v>
      </c>
      <c r="G2357" s="4">
        <v>44461.02555085648</v>
      </c>
      <c r="H2357" s="8">
        <v>44461.0</v>
      </c>
    </row>
    <row r="2358">
      <c r="A2358" s="2">
        <v>0.3</v>
      </c>
      <c r="B2358" s="2">
        <v>234.2</v>
      </c>
      <c r="C2358" s="2">
        <v>10.8</v>
      </c>
      <c r="D2358" s="2">
        <v>2.76</v>
      </c>
      <c r="E2358" s="2">
        <v>0.16</v>
      </c>
      <c r="F2358" s="2">
        <v>50.0</v>
      </c>
      <c r="G2358" s="4">
        <v>44461.025649641204</v>
      </c>
      <c r="H2358" s="8">
        <v>44461.0</v>
      </c>
    </row>
    <row r="2359">
      <c r="A2359" s="2">
        <v>0.28</v>
      </c>
      <c r="B2359" s="2">
        <v>234.2</v>
      </c>
      <c r="C2359" s="2">
        <v>7.1</v>
      </c>
      <c r="D2359" s="2">
        <v>2.76</v>
      </c>
      <c r="E2359" s="2">
        <v>0.11</v>
      </c>
      <c r="F2359" s="2">
        <v>50.0</v>
      </c>
      <c r="G2359" s="4">
        <v>44461.025752430556</v>
      </c>
      <c r="H2359" s="8">
        <v>44461.0</v>
      </c>
    </row>
    <row r="2360">
      <c r="A2360" s="2">
        <v>0.28</v>
      </c>
      <c r="B2360" s="2">
        <v>233.0</v>
      </c>
      <c r="C2360" s="2">
        <v>6.7</v>
      </c>
      <c r="D2360" s="2">
        <v>2.76</v>
      </c>
      <c r="E2360" s="2">
        <v>0.1</v>
      </c>
      <c r="F2360" s="2">
        <v>50.0</v>
      </c>
      <c r="G2360" s="4">
        <v>44461.02585653935</v>
      </c>
      <c r="H2360" s="8">
        <v>44461.0</v>
      </c>
    </row>
    <row r="2361">
      <c r="A2361" s="2">
        <v>0.29</v>
      </c>
      <c r="B2361" s="2">
        <v>232.8</v>
      </c>
      <c r="C2361" s="2">
        <v>10.3</v>
      </c>
      <c r="D2361" s="2">
        <v>2.76</v>
      </c>
      <c r="E2361" s="2">
        <v>0.15</v>
      </c>
      <c r="F2361" s="2">
        <v>50.0</v>
      </c>
      <c r="G2361" s="4">
        <v>44461.02595679398</v>
      </c>
      <c r="H2361" s="8">
        <v>44461.0</v>
      </c>
    </row>
    <row r="2362">
      <c r="A2362" s="2">
        <v>0.27</v>
      </c>
      <c r="B2362" s="2">
        <v>232.7</v>
      </c>
      <c r="C2362" s="2">
        <v>7.6</v>
      </c>
      <c r="D2362" s="2">
        <v>2.76</v>
      </c>
      <c r="E2362" s="2">
        <v>0.12</v>
      </c>
      <c r="F2362" s="2">
        <v>49.9</v>
      </c>
      <c r="G2362" s="4">
        <v>44461.026056319446</v>
      </c>
      <c r="H2362" s="8">
        <v>44461.0</v>
      </c>
    </row>
    <row r="2363">
      <c r="A2363" s="2">
        <v>0.28</v>
      </c>
      <c r="B2363" s="2">
        <v>232.2</v>
      </c>
      <c r="C2363" s="2">
        <v>7.1</v>
      </c>
      <c r="D2363" s="2">
        <v>2.76</v>
      </c>
      <c r="E2363" s="2">
        <v>0.11</v>
      </c>
      <c r="F2363" s="2">
        <v>49.9</v>
      </c>
      <c r="G2363" s="4">
        <v>44461.02616256944</v>
      </c>
      <c r="H2363" s="8">
        <v>44461.0</v>
      </c>
    </row>
    <row r="2364">
      <c r="A2364" s="2">
        <v>0.29</v>
      </c>
      <c r="B2364" s="2">
        <v>232.3</v>
      </c>
      <c r="C2364" s="2">
        <v>10.7</v>
      </c>
      <c r="D2364" s="2">
        <v>2.76</v>
      </c>
      <c r="E2364" s="2">
        <v>0.16</v>
      </c>
      <c r="F2364" s="2">
        <v>50.0</v>
      </c>
      <c r="G2364" s="4">
        <v>44461.02626158565</v>
      </c>
      <c r="H2364" s="8">
        <v>44461.0</v>
      </c>
    </row>
    <row r="2365">
      <c r="A2365" s="2">
        <v>0.3</v>
      </c>
      <c r="B2365" s="2">
        <v>232.3</v>
      </c>
      <c r="C2365" s="2">
        <v>13.5</v>
      </c>
      <c r="D2365" s="2">
        <v>2.76</v>
      </c>
      <c r="E2365" s="2">
        <v>0.19</v>
      </c>
      <c r="F2365" s="2">
        <v>49.9</v>
      </c>
      <c r="G2365" s="4">
        <v>44461.026363067125</v>
      </c>
      <c r="H2365" s="8">
        <v>44461.0</v>
      </c>
    </row>
    <row r="2366">
      <c r="A2366" s="2">
        <v>0.27</v>
      </c>
      <c r="B2366" s="2">
        <v>232.2</v>
      </c>
      <c r="C2366" s="2">
        <v>6.6</v>
      </c>
      <c r="D2366" s="2">
        <v>2.76</v>
      </c>
      <c r="E2366" s="2">
        <v>0.1</v>
      </c>
      <c r="F2366" s="2">
        <v>49.9</v>
      </c>
      <c r="G2366" s="4">
        <v>44461.026470717596</v>
      </c>
      <c r="H2366" s="8">
        <v>44461.0</v>
      </c>
    </row>
    <row r="2367">
      <c r="A2367" s="2">
        <v>0.3</v>
      </c>
      <c r="B2367" s="2">
        <v>232.3</v>
      </c>
      <c r="C2367" s="2">
        <v>12.7</v>
      </c>
      <c r="D2367" s="2">
        <v>2.76</v>
      </c>
      <c r="E2367" s="2">
        <v>0.18</v>
      </c>
      <c r="F2367" s="2">
        <v>50.0</v>
      </c>
      <c r="G2367" s="4">
        <v>44461.02657887731</v>
      </c>
      <c r="H2367" s="8">
        <v>44461.0</v>
      </c>
    </row>
    <row r="2368">
      <c r="A2368" s="2">
        <v>0.27</v>
      </c>
      <c r="B2368" s="2">
        <v>232.4</v>
      </c>
      <c r="C2368" s="2">
        <v>6.6</v>
      </c>
      <c r="D2368" s="2">
        <v>2.76</v>
      </c>
      <c r="E2368" s="2">
        <v>0.1</v>
      </c>
      <c r="F2368" s="2">
        <v>49.9</v>
      </c>
      <c r="G2368" s="4">
        <v>44461.02668214121</v>
      </c>
      <c r="H2368" s="8">
        <v>44461.0</v>
      </c>
    </row>
    <row r="2369">
      <c r="A2369" s="2">
        <v>0.28</v>
      </c>
      <c r="B2369" s="2">
        <v>232.5</v>
      </c>
      <c r="C2369" s="2">
        <v>6.7</v>
      </c>
      <c r="D2369" s="2">
        <v>2.76</v>
      </c>
      <c r="E2369" s="2">
        <v>0.1</v>
      </c>
      <c r="F2369" s="2">
        <v>49.9</v>
      </c>
      <c r="G2369" s="4">
        <v>44461.02683567129</v>
      </c>
      <c r="H2369" s="8">
        <v>44461.0</v>
      </c>
    </row>
    <row r="2370">
      <c r="A2370" s="2">
        <v>0.28</v>
      </c>
      <c r="B2370" s="2">
        <v>232.5</v>
      </c>
      <c r="C2370" s="2">
        <v>7.2</v>
      </c>
      <c r="D2370" s="2">
        <v>2.76</v>
      </c>
      <c r="E2370" s="2">
        <v>0.11</v>
      </c>
      <c r="F2370" s="2">
        <v>50.0</v>
      </c>
      <c r="G2370" s="4">
        <v>44461.02693839121</v>
      </c>
      <c r="H2370" s="8">
        <v>44461.0</v>
      </c>
    </row>
    <row r="2371">
      <c r="A2371" s="2">
        <v>0.3</v>
      </c>
      <c r="B2371" s="2">
        <v>232.7</v>
      </c>
      <c r="C2371" s="2">
        <v>13.0</v>
      </c>
      <c r="D2371" s="2">
        <v>2.76</v>
      </c>
      <c r="E2371" s="2">
        <v>0.19</v>
      </c>
      <c r="F2371" s="2">
        <v>50.0</v>
      </c>
      <c r="G2371" s="4">
        <v>44461.02704260417</v>
      </c>
      <c r="H2371" s="8">
        <v>44461.0</v>
      </c>
    </row>
    <row r="2372">
      <c r="A2372" s="2">
        <v>0.27</v>
      </c>
      <c r="B2372" s="2">
        <v>232.7</v>
      </c>
      <c r="C2372" s="2">
        <v>5.7</v>
      </c>
      <c r="D2372" s="2">
        <v>2.76</v>
      </c>
      <c r="E2372" s="2">
        <v>0.09</v>
      </c>
      <c r="F2372" s="2">
        <v>50.0</v>
      </c>
      <c r="G2372" s="4">
        <v>44461.02715165509</v>
      </c>
      <c r="H2372" s="8">
        <v>44461.0</v>
      </c>
    </row>
    <row r="2373">
      <c r="A2373" s="2">
        <v>0.3</v>
      </c>
      <c r="B2373" s="2">
        <v>232.8</v>
      </c>
      <c r="C2373" s="2">
        <v>12.3</v>
      </c>
      <c r="D2373" s="2">
        <v>2.76</v>
      </c>
      <c r="E2373" s="2">
        <v>0.17</v>
      </c>
      <c r="F2373" s="2">
        <v>50.0</v>
      </c>
      <c r="G2373" s="4">
        <v>44461.027260752315</v>
      </c>
      <c r="H2373" s="8">
        <v>44461.0</v>
      </c>
    </row>
    <row r="2374">
      <c r="A2374" s="2">
        <v>0.27</v>
      </c>
      <c r="B2374" s="2">
        <v>232.7</v>
      </c>
      <c r="C2374" s="2">
        <v>5.5</v>
      </c>
      <c r="D2374" s="2">
        <v>2.76</v>
      </c>
      <c r="E2374" s="2">
        <v>0.09</v>
      </c>
      <c r="F2374" s="2">
        <v>50.0</v>
      </c>
      <c r="G2374" s="4">
        <v>44461.02737430556</v>
      </c>
      <c r="H2374" s="8">
        <v>44461.0</v>
      </c>
    </row>
    <row r="2375">
      <c r="A2375" s="2">
        <v>0.29</v>
      </c>
      <c r="B2375" s="2">
        <v>232.9</v>
      </c>
      <c r="C2375" s="2">
        <v>10.6</v>
      </c>
      <c r="D2375" s="2">
        <v>2.76</v>
      </c>
      <c r="E2375" s="2">
        <v>0.15</v>
      </c>
      <c r="F2375" s="2">
        <v>50.0</v>
      </c>
      <c r="G2375" s="4">
        <v>44461.02748292824</v>
      </c>
      <c r="H2375" s="8">
        <v>44461.0</v>
      </c>
    </row>
    <row r="2376">
      <c r="A2376" s="2">
        <v>0.27</v>
      </c>
      <c r="B2376" s="2">
        <v>232.9</v>
      </c>
      <c r="C2376" s="2">
        <v>5.4</v>
      </c>
      <c r="D2376" s="2">
        <v>2.76</v>
      </c>
      <c r="E2376" s="2">
        <v>0.09</v>
      </c>
      <c r="F2376" s="2">
        <v>50.0</v>
      </c>
      <c r="G2376" s="4">
        <v>44461.02758880787</v>
      </c>
      <c r="H2376" s="8">
        <v>44461.0</v>
      </c>
    </row>
    <row r="2377">
      <c r="A2377" s="2">
        <v>0.28</v>
      </c>
      <c r="B2377" s="2">
        <v>232.7</v>
      </c>
      <c r="C2377" s="2">
        <v>6.6</v>
      </c>
      <c r="D2377" s="2">
        <v>2.76</v>
      </c>
      <c r="E2377" s="2">
        <v>0.1</v>
      </c>
      <c r="F2377" s="2">
        <v>50.0</v>
      </c>
      <c r="G2377" s="4">
        <v>44461.0276965625</v>
      </c>
      <c r="H2377" s="8">
        <v>44461.0</v>
      </c>
    </row>
    <row r="2378">
      <c r="A2378" s="2">
        <v>0.28</v>
      </c>
      <c r="B2378" s="2">
        <v>232.9</v>
      </c>
      <c r="C2378" s="2">
        <v>7.9</v>
      </c>
      <c r="D2378" s="2">
        <v>2.76</v>
      </c>
      <c r="E2378" s="2">
        <v>0.12</v>
      </c>
      <c r="F2378" s="2">
        <v>50.0</v>
      </c>
      <c r="G2378" s="4">
        <v>44461.02780511574</v>
      </c>
      <c r="H2378" s="8">
        <v>44461.0</v>
      </c>
    </row>
    <row r="2379">
      <c r="A2379" s="2">
        <v>0.28</v>
      </c>
      <c r="B2379" s="2">
        <v>233.1</v>
      </c>
      <c r="C2379" s="2">
        <v>7.1</v>
      </c>
      <c r="D2379" s="2">
        <v>2.76</v>
      </c>
      <c r="E2379" s="2">
        <v>0.11</v>
      </c>
      <c r="F2379" s="2">
        <v>50.0</v>
      </c>
      <c r="G2379" s="4">
        <v>44461.0279125</v>
      </c>
      <c r="H2379" s="8">
        <v>44461.0</v>
      </c>
    </row>
    <row r="2380">
      <c r="A2380" s="2">
        <v>0.3</v>
      </c>
      <c r="B2380" s="2">
        <v>233.1</v>
      </c>
      <c r="C2380" s="2">
        <v>11.7</v>
      </c>
      <c r="D2380" s="2">
        <v>2.76</v>
      </c>
      <c r="E2380" s="2">
        <v>0.17</v>
      </c>
      <c r="F2380" s="2">
        <v>50.0</v>
      </c>
      <c r="G2380" s="4">
        <v>44461.0280249537</v>
      </c>
      <c r="H2380" s="8">
        <v>44461.0</v>
      </c>
    </row>
    <row r="2381">
      <c r="A2381" s="2">
        <v>0.27</v>
      </c>
      <c r="B2381" s="2">
        <v>233.1</v>
      </c>
      <c r="C2381" s="2">
        <v>6.1</v>
      </c>
      <c r="D2381" s="2">
        <v>2.76</v>
      </c>
      <c r="E2381" s="2">
        <v>0.1</v>
      </c>
      <c r="F2381" s="2">
        <v>50.0</v>
      </c>
      <c r="G2381" s="4">
        <v>44461.02813828704</v>
      </c>
      <c r="H2381" s="8">
        <v>44461.0</v>
      </c>
    </row>
    <row r="2382">
      <c r="A2382" s="2">
        <v>0.3</v>
      </c>
      <c r="B2382" s="2">
        <v>233.7</v>
      </c>
      <c r="C2382" s="2">
        <v>12.8</v>
      </c>
      <c r="D2382" s="2">
        <v>2.76</v>
      </c>
      <c r="E2382" s="2">
        <v>0.18</v>
      </c>
      <c r="F2382" s="2">
        <v>50.0</v>
      </c>
      <c r="G2382" s="4">
        <v>44461.028250324074</v>
      </c>
      <c r="H2382" s="8">
        <v>44461.0</v>
      </c>
    </row>
    <row r="2383">
      <c r="A2383" s="2">
        <v>0.28</v>
      </c>
      <c r="B2383" s="2">
        <v>233.7</v>
      </c>
      <c r="C2383" s="2">
        <v>6.8</v>
      </c>
      <c r="D2383" s="2">
        <v>2.76</v>
      </c>
      <c r="E2383" s="2">
        <v>0.11</v>
      </c>
      <c r="F2383" s="2">
        <v>50.0</v>
      </c>
      <c r="G2383" s="4">
        <v>44461.028347280095</v>
      </c>
      <c r="H2383" s="8">
        <v>44461.0</v>
      </c>
    </row>
    <row r="2384">
      <c r="A2384" s="2">
        <v>0.27</v>
      </c>
      <c r="B2384" s="2">
        <v>233.8</v>
      </c>
      <c r="C2384" s="2">
        <v>6.2</v>
      </c>
      <c r="D2384" s="2">
        <v>2.76</v>
      </c>
      <c r="E2384" s="2">
        <v>0.1</v>
      </c>
      <c r="F2384" s="2">
        <v>50.0</v>
      </c>
      <c r="G2384" s="4">
        <v>44461.028457141205</v>
      </c>
      <c r="H2384" s="8">
        <v>44461.0</v>
      </c>
    </row>
    <row r="2385">
      <c r="A2385" s="2">
        <v>0.28</v>
      </c>
      <c r="B2385" s="2">
        <v>233.7</v>
      </c>
      <c r="C2385" s="2">
        <v>8.0</v>
      </c>
      <c r="D2385" s="2">
        <v>2.76</v>
      </c>
      <c r="E2385" s="2">
        <v>0.12</v>
      </c>
      <c r="F2385" s="2">
        <v>50.0</v>
      </c>
      <c r="G2385" s="4">
        <v>44461.0285654051</v>
      </c>
      <c r="H2385" s="8">
        <v>44461.0</v>
      </c>
    </row>
    <row r="2386">
      <c r="A2386" s="2">
        <v>0.28</v>
      </c>
      <c r="B2386" s="2">
        <v>233.7</v>
      </c>
      <c r="C2386" s="2">
        <v>6.6</v>
      </c>
      <c r="D2386" s="2">
        <v>2.76</v>
      </c>
      <c r="E2386" s="2">
        <v>0.1</v>
      </c>
      <c r="F2386" s="2">
        <v>50.0</v>
      </c>
      <c r="G2386" s="4">
        <v>44461.028669328705</v>
      </c>
      <c r="H2386" s="8">
        <v>44461.0</v>
      </c>
    </row>
    <row r="2387">
      <c r="A2387" s="2">
        <v>0.3</v>
      </c>
      <c r="B2387" s="2">
        <v>233.6</v>
      </c>
      <c r="C2387" s="2">
        <v>11.4</v>
      </c>
      <c r="D2387" s="2">
        <v>2.76</v>
      </c>
      <c r="E2387" s="2">
        <v>0.16</v>
      </c>
      <c r="F2387" s="2">
        <v>50.0</v>
      </c>
      <c r="G2387" s="4">
        <v>44461.02877376157</v>
      </c>
      <c r="H2387" s="8">
        <v>44461.0</v>
      </c>
    </row>
    <row r="2388">
      <c r="A2388" s="2">
        <v>0.27</v>
      </c>
      <c r="B2388" s="2">
        <v>233.5</v>
      </c>
      <c r="C2388" s="2">
        <v>6.2</v>
      </c>
      <c r="D2388" s="2">
        <v>2.76</v>
      </c>
      <c r="E2388" s="2">
        <v>0.1</v>
      </c>
      <c r="F2388" s="2">
        <v>50.0</v>
      </c>
      <c r="G2388" s="4">
        <v>44461.028881412036</v>
      </c>
      <c r="H2388" s="8">
        <v>44461.0</v>
      </c>
    </row>
    <row r="2389">
      <c r="A2389" s="2">
        <v>0.29</v>
      </c>
      <c r="B2389" s="2">
        <v>233.5</v>
      </c>
      <c r="C2389" s="2">
        <v>9.7</v>
      </c>
      <c r="D2389" s="2">
        <v>2.76</v>
      </c>
      <c r="E2389" s="2">
        <v>0.14</v>
      </c>
      <c r="F2389" s="2">
        <v>50.0</v>
      </c>
      <c r="G2389" s="4">
        <v>44461.02899892361</v>
      </c>
      <c r="H2389" s="8">
        <v>44461.0</v>
      </c>
    </row>
    <row r="2390">
      <c r="A2390" s="2">
        <v>0.28</v>
      </c>
      <c r="B2390" s="2">
        <v>233.6</v>
      </c>
      <c r="C2390" s="2">
        <v>6.4</v>
      </c>
      <c r="D2390" s="2">
        <v>2.76</v>
      </c>
      <c r="E2390" s="2">
        <v>0.1</v>
      </c>
      <c r="F2390" s="2">
        <v>50.0</v>
      </c>
      <c r="G2390" s="4">
        <v>44461.02910677083</v>
      </c>
      <c r="H2390" s="8">
        <v>44461.0</v>
      </c>
    </row>
    <row r="2391">
      <c r="A2391" s="2">
        <v>0.29</v>
      </c>
      <c r="B2391" s="2">
        <v>233.5</v>
      </c>
      <c r="C2391" s="2">
        <v>8.3</v>
      </c>
      <c r="D2391" s="2">
        <v>2.76</v>
      </c>
      <c r="E2391" s="2">
        <v>0.12</v>
      </c>
      <c r="F2391" s="2">
        <v>50.0</v>
      </c>
      <c r="G2391" s="4">
        <v>44461.02921253472</v>
      </c>
      <c r="H2391" s="8">
        <v>44461.0</v>
      </c>
    </row>
    <row r="2392">
      <c r="A2392" s="2">
        <v>0.28</v>
      </c>
      <c r="B2392" s="2">
        <v>233.4</v>
      </c>
      <c r="C2392" s="2">
        <v>8.6</v>
      </c>
      <c r="D2392" s="2">
        <v>2.76</v>
      </c>
      <c r="E2392" s="2">
        <v>0.13</v>
      </c>
      <c r="F2392" s="2">
        <v>49.9</v>
      </c>
      <c r="G2392" s="4">
        <v>44461.02932336806</v>
      </c>
      <c r="H2392" s="8">
        <v>44461.0</v>
      </c>
    </row>
    <row r="2393">
      <c r="A2393" s="2">
        <v>0.3</v>
      </c>
      <c r="B2393" s="2">
        <v>233.4</v>
      </c>
      <c r="C2393" s="2">
        <v>12.5</v>
      </c>
      <c r="D2393" s="2">
        <v>2.76</v>
      </c>
      <c r="E2393" s="2">
        <v>0.18</v>
      </c>
      <c r="F2393" s="2">
        <v>50.0</v>
      </c>
      <c r="G2393" s="4">
        <v>44461.02945894676</v>
      </c>
      <c r="H2393" s="8">
        <v>44461.0</v>
      </c>
    </row>
    <row r="2394">
      <c r="A2394" s="2">
        <v>0.28</v>
      </c>
      <c r="B2394" s="2">
        <v>233.6</v>
      </c>
      <c r="C2394" s="2">
        <v>6.3</v>
      </c>
      <c r="D2394" s="2">
        <v>2.77</v>
      </c>
      <c r="E2394" s="2">
        <v>0.1</v>
      </c>
      <c r="F2394" s="2">
        <v>50.0</v>
      </c>
      <c r="G2394" s="4">
        <v>44461.02957690972</v>
      </c>
      <c r="H2394" s="8">
        <v>44461.0</v>
      </c>
    </row>
    <row r="2395">
      <c r="A2395" s="2">
        <v>0.29</v>
      </c>
      <c r="B2395" s="2">
        <v>233.5</v>
      </c>
      <c r="C2395" s="2">
        <v>11.4</v>
      </c>
      <c r="D2395" s="2">
        <v>2.77</v>
      </c>
      <c r="E2395" s="2">
        <v>0.17</v>
      </c>
      <c r="F2395" s="2">
        <v>50.0</v>
      </c>
      <c r="G2395" s="4">
        <v>44461.02968869213</v>
      </c>
      <c r="H2395" s="8">
        <v>44461.0</v>
      </c>
    </row>
    <row r="2396">
      <c r="A2396" s="2">
        <v>0.27</v>
      </c>
      <c r="B2396" s="2">
        <v>233.5</v>
      </c>
      <c r="C2396" s="2">
        <v>6.1</v>
      </c>
      <c r="D2396" s="2">
        <v>2.77</v>
      </c>
      <c r="E2396" s="2">
        <v>0.1</v>
      </c>
      <c r="F2396" s="2">
        <v>50.0</v>
      </c>
      <c r="G2396" s="4">
        <v>44461.02979417824</v>
      </c>
      <c r="H2396" s="8">
        <v>44461.0</v>
      </c>
    </row>
    <row r="2397">
      <c r="A2397" s="2">
        <v>0.3</v>
      </c>
      <c r="B2397" s="2">
        <v>233.6</v>
      </c>
      <c r="C2397" s="2">
        <v>11.3</v>
      </c>
      <c r="D2397" s="2">
        <v>2.77</v>
      </c>
      <c r="E2397" s="2">
        <v>0.16</v>
      </c>
      <c r="F2397" s="2">
        <v>50.0</v>
      </c>
      <c r="G2397" s="4">
        <v>44461.02989818287</v>
      </c>
      <c r="H2397" s="8">
        <v>44461.0</v>
      </c>
    </row>
    <row r="2398">
      <c r="A2398" s="2">
        <v>0.27</v>
      </c>
      <c r="B2398" s="2">
        <v>233.5</v>
      </c>
      <c r="C2398" s="2">
        <v>5.8</v>
      </c>
      <c r="D2398" s="2">
        <v>2.77</v>
      </c>
      <c r="E2398" s="2">
        <v>0.09</v>
      </c>
      <c r="F2398" s="2">
        <v>50.0</v>
      </c>
      <c r="G2398" s="4">
        <v>44461.030006643516</v>
      </c>
      <c r="H2398" s="8">
        <v>44461.0</v>
      </c>
    </row>
    <row r="2399">
      <c r="A2399" s="2">
        <v>0.28</v>
      </c>
      <c r="B2399" s="2">
        <v>233.5</v>
      </c>
      <c r="C2399" s="2">
        <v>7.2</v>
      </c>
      <c r="D2399" s="2">
        <v>2.77</v>
      </c>
      <c r="E2399" s="2">
        <v>0.11</v>
      </c>
      <c r="F2399" s="2">
        <v>50.0</v>
      </c>
      <c r="G2399" s="4">
        <v>44461.03011153935</v>
      </c>
      <c r="H2399" s="8">
        <v>44461.0</v>
      </c>
    </row>
    <row r="2400">
      <c r="A2400" s="2">
        <v>0.28</v>
      </c>
      <c r="B2400" s="2">
        <v>233.5</v>
      </c>
      <c r="C2400" s="2">
        <v>8.5</v>
      </c>
      <c r="D2400" s="2">
        <v>2.77</v>
      </c>
      <c r="E2400" s="2">
        <v>0.13</v>
      </c>
      <c r="F2400" s="2">
        <v>50.0</v>
      </c>
      <c r="G2400" s="4">
        <v>44461.03021532408</v>
      </c>
      <c r="H2400" s="8">
        <v>44461.0</v>
      </c>
    </row>
    <row r="2401">
      <c r="A2401" s="2">
        <v>0.27</v>
      </c>
      <c r="B2401" s="2">
        <v>233.5</v>
      </c>
      <c r="C2401" s="2">
        <v>5.6</v>
      </c>
      <c r="D2401" s="2">
        <v>2.77</v>
      </c>
      <c r="E2401" s="2">
        <v>0.09</v>
      </c>
      <c r="F2401" s="2">
        <v>50.0</v>
      </c>
      <c r="G2401" s="4">
        <v>44461.03031915509</v>
      </c>
      <c r="H2401" s="8">
        <v>44461.0</v>
      </c>
    </row>
    <row r="2402">
      <c r="A2402" s="2">
        <v>0.28</v>
      </c>
      <c r="B2402" s="2">
        <v>233.4</v>
      </c>
      <c r="C2402" s="2">
        <v>9.7</v>
      </c>
      <c r="D2402" s="2">
        <v>2.77</v>
      </c>
      <c r="E2402" s="2">
        <v>0.15</v>
      </c>
      <c r="F2402" s="2">
        <v>50.0</v>
      </c>
      <c r="G2402" s="4">
        <v>44461.030428067126</v>
      </c>
      <c r="H2402" s="8">
        <v>44461.0</v>
      </c>
    </row>
    <row r="2403">
      <c r="A2403" s="2">
        <v>0.27</v>
      </c>
      <c r="B2403" s="2">
        <v>233.4</v>
      </c>
      <c r="C2403" s="2">
        <v>5.7</v>
      </c>
      <c r="D2403" s="2">
        <v>2.77</v>
      </c>
      <c r="E2403" s="2">
        <v>0.09</v>
      </c>
      <c r="F2403" s="2">
        <v>50.0</v>
      </c>
      <c r="G2403" s="4">
        <v>44461.03054868056</v>
      </c>
      <c r="H2403" s="8">
        <v>44461.0</v>
      </c>
    </row>
    <row r="2404">
      <c r="A2404" s="2">
        <v>0.29</v>
      </c>
      <c r="B2404" s="2">
        <v>233.4</v>
      </c>
      <c r="C2404" s="2">
        <v>11.2</v>
      </c>
      <c r="D2404" s="2">
        <v>2.77</v>
      </c>
      <c r="E2404" s="2">
        <v>0.17</v>
      </c>
      <c r="F2404" s="2">
        <v>50.0</v>
      </c>
      <c r="G2404" s="4">
        <v>44461.030665046295</v>
      </c>
      <c r="H2404" s="8">
        <v>44461.0</v>
      </c>
    </row>
    <row r="2405">
      <c r="A2405" s="2">
        <v>0.28</v>
      </c>
      <c r="B2405" s="2">
        <v>233.4</v>
      </c>
      <c r="C2405" s="2">
        <v>7.2</v>
      </c>
      <c r="D2405" s="2">
        <v>2.77</v>
      </c>
      <c r="E2405" s="2">
        <v>0.11</v>
      </c>
      <c r="F2405" s="2">
        <v>50.0</v>
      </c>
      <c r="G2405" s="4">
        <v>44461.03077337963</v>
      </c>
      <c r="H2405" s="8">
        <v>44461.0</v>
      </c>
    </row>
    <row r="2406">
      <c r="A2406" s="2">
        <v>0.29</v>
      </c>
      <c r="B2406" s="2">
        <v>233.3</v>
      </c>
      <c r="C2406" s="2">
        <v>10.2</v>
      </c>
      <c r="D2406" s="2">
        <v>2.77</v>
      </c>
      <c r="E2406" s="2">
        <v>0.15</v>
      </c>
      <c r="F2406" s="2">
        <v>50.0</v>
      </c>
      <c r="G2406" s="4">
        <v>44461.030881377315</v>
      </c>
      <c r="H2406" s="8">
        <v>44461.0</v>
      </c>
    </row>
    <row r="2407">
      <c r="A2407" s="2">
        <v>0.28</v>
      </c>
      <c r="B2407" s="2">
        <v>233.4</v>
      </c>
      <c r="C2407" s="2">
        <v>7.1</v>
      </c>
      <c r="D2407" s="2">
        <v>2.77</v>
      </c>
      <c r="E2407" s="2">
        <v>0.11</v>
      </c>
      <c r="F2407" s="2">
        <v>50.0</v>
      </c>
      <c r="G2407" s="4">
        <v>44461.030991481486</v>
      </c>
      <c r="H2407" s="8">
        <v>44461.0</v>
      </c>
    </row>
    <row r="2408">
      <c r="A2408" s="2">
        <v>0.28</v>
      </c>
      <c r="B2408" s="2">
        <v>233.4</v>
      </c>
      <c r="C2408" s="2">
        <v>9.0</v>
      </c>
      <c r="D2408" s="2">
        <v>2.77</v>
      </c>
      <c r="E2408" s="2">
        <v>0.14</v>
      </c>
      <c r="F2408" s="2">
        <v>50.0</v>
      </c>
      <c r="G2408" s="4">
        <v>44461.03109846065</v>
      </c>
      <c r="H2408" s="8">
        <v>44461.0</v>
      </c>
    </row>
    <row r="2409">
      <c r="A2409" s="2">
        <v>0.28</v>
      </c>
      <c r="B2409" s="2">
        <v>233.4</v>
      </c>
      <c r="C2409" s="2">
        <v>6.5</v>
      </c>
      <c r="D2409" s="2">
        <v>2.77</v>
      </c>
      <c r="E2409" s="2">
        <v>0.1</v>
      </c>
      <c r="F2409" s="2">
        <v>50.0</v>
      </c>
      <c r="G2409" s="4">
        <v>44461.03120462963</v>
      </c>
      <c r="H2409" s="8">
        <v>44461.0</v>
      </c>
    </row>
    <row r="2410">
      <c r="A2410" s="2">
        <v>0.3</v>
      </c>
      <c r="B2410" s="2">
        <v>233.4</v>
      </c>
      <c r="C2410" s="2">
        <v>11.4</v>
      </c>
      <c r="D2410" s="2">
        <v>2.77</v>
      </c>
      <c r="E2410" s="2">
        <v>0.16</v>
      </c>
      <c r="F2410" s="2">
        <v>50.0</v>
      </c>
      <c r="G2410" s="4">
        <v>44461.03131019676</v>
      </c>
      <c r="H2410" s="8">
        <v>44461.0</v>
      </c>
    </row>
    <row r="2411">
      <c r="A2411" s="2">
        <v>0.27</v>
      </c>
      <c r="B2411" s="2">
        <v>233.5</v>
      </c>
      <c r="C2411" s="2">
        <v>6.1</v>
      </c>
      <c r="D2411" s="2">
        <v>2.77</v>
      </c>
      <c r="E2411" s="2">
        <v>0.1</v>
      </c>
      <c r="F2411" s="2">
        <v>50.0</v>
      </c>
      <c r="G2411" s="4">
        <v>44461.03140811343</v>
      </c>
      <c r="H2411" s="8">
        <v>44461.0</v>
      </c>
    </row>
    <row r="2412">
      <c r="A2412" s="2">
        <v>0.28</v>
      </c>
      <c r="B2412" s="2">
        <v>233.4</v>
      </c>
      <c r="C2412" s="2">
        <v>7.7</v>
      </c>
      <c r="D2412" s="2">
        <v>2.77</v>
      </c>
      <c r="E2412" s="2">
        <v>0.12</v>
      </c>
      <c r="F2412" s="2">
        <v>50.0</v>
      </c>
      <c r="G2412" s="4">
        <v>44461.03151542824</v>
      </c>
      <c r="H2412" s="8">
        <v>44461.0</v>
      </c>
    </row>
    <row r="2413">
      <c r="A2413" s="2">
        <v>0.28</v>
      </c>
      <c r="B2413" s="2">
        <v>233.3</v>
      </c>
      <c r="C2413" s="2">
        <v>8.3</v>
      </c>
      <c r="D2413" s="2">
        <v>2.77</v>
      </c>
      <c r="E2413" s="2">
        <v>0.13</v>
      </c>
      <c r="F2413" s="2">
        <v>50.0</v>
      </c>
      <c r="G2413" s="4">
        <v>44461.031625856485</v>
      </c>
      <c r="H2413" s="8">
        <v>44461.0</v>
      </c>
    </row>
    <row r="2414">
      <c r="A2414" s="2">
        <v>0.29</v>
      </c>
      <c r="B2414" s="2">
        <v>233.4</v>
      </c>
      <c r="C2414" s="2">
        <v>8.6</v>
      </c>
      <c r="D2414" s="2">
        <v>2.77</v>
      </c>
      <c r="E2414" s="2">
        <v>0.13</v>
      </c>
      <c r="F2414" s="2">
        <v>50.0</v>
      </c>
      <c r="G2414" s="4">
        <v>44461.03173396991</v>
      </c>
      <c r="H2414" s="8">
        <v>44461.0</v>
      </c>
    </row>
    <row r="2415">
      <c r="A2415" s="2">
        <v>0.27</v>
      </c>
      <c r="B2415" s="2">
        <v>233.4</v>
      </c>
      <c r="C2415" s="2">
        <v>6.8</v>
      </c>
      <c r="D2415" s="2">
        <v>2.77</v>
      </c>
      <c r="E2415" s="2">
        <v>0.11</v>
      </c>
      <c r="F2415" s="2">
        <v>50.0</v>
      </c>
      <c r="G2415" s="4">
        <v>44461.03183974537</v>
      </c>
      <c r="H2415" s="8">
        <v>44461.0</v>
      </c>
    </row>
    <row r="2416">
      <c r="A2416" s="2">
        <v>0.29</v>
      </c>
      <c r="B2416" s="2">
        <v>233.4</v>
      </c>
      <c r="C2416" s="2">
        <v>12.1</v>
      </c>
      <c r="D2416" s="2">
        <v>2.77</v>
      </c>
      <c r="E2416" s="2">
        <v>0.18</v>
      </c>
      <c r="F2416" s="2">
        <v>50.0</v>
      </c>
      <c r="G2416" s="4">
        <v>44461.03197835648</v>
      </c>
      <c r="H2416" s="8">
        <v>44461.0</v>
      </c>
    </row>
    <row r="2417">
      <c r="A2417" s="2">
        <v>0.27</v>
      </c>
      <c r="B2417" s="2">
        <v>233.3</v>
      </c>
      <c r="C2417" s="2">
        <v>6.2</v>
      </c>
      <c r="D2417" s="2">
        <v>2.77</v>
      </c>
      <c r="E2417" s="2">
        <v>0.1</v>
      </c>
      <c r="F2417" s="2">
        <v>50.0</v>
      </c>
      <c r="G2417" s="4">
        <v>44461.03208359954</v>
      </c>
      <c r="H2417" s="8">
        <v>44461.0</v>
      </c>
    </row>
    <row r="2418">
      <c r="A2418" s="2">
        <v>0.29</v>
      </c>
      <c r="B2418" s="2">
        <v>233.4</v>
      </c>
      <c r="C2418" s="2">
        <v>9.8</v>
      </c>
      <c r="D2418" s="2">
        <v>2.77</v>
      </c>
      <c r="E2418" s="2">
        <v>0.14</v>
      </c>
      <c r="F2418" s="2">
        <v>50.0</v>
      </c>
      <c r="G2418" s="4">
        <v>44461.03225574074</v>
      </c>
      <c r="H2418" s="8">
        <v>44461.0</v>
      </c>
    </row>
    <row r="2419">
      <c r="A2419" s="2">
        <v>0.27</v>
      </c>
      <c r="B2419" s="2">
        <v>233.1</v>
      </c>
      <c r="C2419" s="2">
        <v>6.0</v>
      </c>
      <c r="D2419" s="2">
        <v>2.77</v>
      </c>
      <c r="E2419" s="2">
        <v>0.09</v>
      </c>
      <c r="F2419" s="2">
        <v>50.0</v>
      </c>
      <c r="G2419" s="4">
        <v>44461.032360219906</v>
      </c>
      <c r="H2419" s="8">
        <v>44461.0</v>
      </c>
    </row>
    <row r="2420">
      <c r="A2420" s="2">
        <v>0.28</v>
      </c>
      <c r="B2420" s="2">
        <v>233.4</v>
      </c>
      <c r="C2420" s="2">
        <v>7.2</v>
      </c>
      <c r="D2420" s="2">
        <v>2.77</v>
      </c>
      <c r="E2420" s="2">
        <v>0.11</v>
      </c>
      <c r="F2420" s="2">
        <v>50.0</v>
      </c>
      <c r="G2420" s="4">
        <v>44461.03246618056</v>
      </c>
      <c r="H2420" s="8">
        <v>44461.0</v>
      </c>
    </row>
    <row r="2421">
      <c r="A2421" s="2">
        <v>0.28</v>
      </c>
      <c r="B2421" s="2">
        <v>233.4</v>
      </c>
      <c r="C2421" s="2">
        <v>6.3</v>
      </c>
      <c r="D2421" s="2">
        <v>2.77</v>
      </c>
      <c r="E2421" s="2">
        <v>0.1</v>
      </c>
      <c r="F2421" s="2">
        <v>50.0</v>
      </c>
      <c r="G2421" s="4">
        <v>44461.0326033912</v>
      </c>
      <c r="H2421" s="8">
        <v>44461.0</v>
      </c>
    </row>
    <row r="2422">
      <c r="A2422" s="2">
        <v>0.28</v>
      </c>
      <c r="B2422" s="2">
        <v>233.3</v>
      </c>
      <c r="C2422" s="2">
        <v>8.9</v>
      </c>
      <c r="D2422" s="2">
        <v>2.77</v>
      </c>
      <c r="E2422" s="2">
        <v>0.14</v>
      </c>
      <c r="F2422" s="2">
        <v>50.0</v>
      </c>
      <c r="G2422" s="4">
        <v>44461.03270722222</v>
      </c>
      <c r="H2422" s="8">
        <v>44461.0</v>
      </c>
    </row>
    <row r="2423">
      <c r="A2423" s="2">
        <v>0.28</v>
      </c>
      <c r="B2423" s="2">
        <v>233.3</v>
      </c>
      <c r="C2423" s="2">
        <v>6.6</v>
      </c>
      <c r="D2423" s="2">
        <v>2.77</v>
      </c>
      <c r="E2423" s="2">
        <v>0.1</v>
      </c>
      <c r="F2423" s="2">
        <v>50.0</v>
      </c>
      <c r="G2423" s="4">
        <v>44461.03281625</v>
      </c>
      <c r="H2423" s="8">
        <v>44461.0</v>
      </c>
    </row>
    <row r="2424">
      <c r="A2424" s="2">
        <v>0.3</v>
      </c>
      <c r="B2424" s="2">
        <v>233.3</v>
      </c>
      <c r="C2424" s="2">
        <v>12.9</v>
      </c>
      <c r="D2424" s="2">
        <v>2.77</v>
      </c>
      <c r="E2424" s="2">
        <v>0.18</v>
      </c>
      <c r="F2424" s="2">
        <v>50.0</v>
      </c>
      <c r="G2424" s="4">
        <v>44461.03292571759</v>
      </c>
      <c r="H2424" s="8">
        <v>44461.0</v>
      </c>
    </row>
    <row r="2425">
      <c r="A2425" s="2">
        <v>0.28</v>
      </c>
      <c r="B2425" s="2">
        <v>233.2</v>
      </c>
      <c r="C2425" s="2">
        <v>7.0</v>
      </c>
      <c r="D2425" s="2">
        <v>2.77</v>
      </c>
      <c r="E2425" s="2">
        <v>0.11</v>
      </c>
      <c r="F2425" s="2">
        <v>49.9</v>
      </c>
      <c r="G2425" s="4">
        <v>44461.03302924769</v>
      </c>
      <c r="H2425" s="8">
        <v>44461.0</v>
      </c>
    </row>
    <row r="2426">
      <c r="A2426" s="2">
        <v>0.28</v>
      </c>
      <c r="B2426" s="2">
        <v>233.0</v>
      </c>
      <c r="C2426" s="2">
        <v>7.0</v>
      </c>
      <c r="D2426" s="2">
        <v>2.77</v>
      </c>
      <c r="E2426" s="2">
        <v>0.11</v>
      </c>
      <c r="F2426" s="2">
        <v>49.9</v>
      </c>
      <c r="G2426" s="4">
        <v>44461.03317336805</v>
      </c>
      <c r="H2426" s="8">
        <v>44461.0</v>
      </c>
    </row>
    <row r="2427">
      <c r="A2427" s="2">
        <v>0.28</v>
      </c>
      <c r="B2427" s="2">
        <v>233.1</v>
      </c>
      <c r="C2427" s="2">
        <v>8.2</v>
      </c>
      <c r="D2427" s="2">
        <v>2.77</v>
      </c>
      <c r="E2427" s="2">
        <v>0.12</v>
      </c>
      <c r="F2427" s="2">
        <v>49.9</v>
      </c>
      <c r="G2427" s="4">
        <v>44461.033280034724</v>
      </c>
      <c r="H2427" s="8">
        <v>44461.0</v>
      </c>
    </row>
    <row r="2428">
      <c r="A2428" s="2">
        <v>0.28</v>
      </c>
      <c r="B2428" s="2">
        <v>233.1</v>
      </c>
      <c r="C2428" s="2">
        <v>8.2</v>
      </c>
      <c r="D2428" s="2">
        <v>2.77</v>
      </c>
      <c r="E2428" s="2">
        <v>0.13</v>
      </c>
      <c r="F2428" s="2">
        <v>49.9</v>
      </c>
      <c r="G2428" s="4">
        <v>44461.033385347226</v>
      </c>
      <c r="H2428" s="8">
        <v>44461.0</v>
      </c>
    </row>
    <row r="2429">
      <c r="A2429" s="2">
        <v>0.28</v>
      </c>
      <c r="B2429" s="2">
        <v>233.1</v>
      </c>
      <c r="C2429" s="2">
        <v>6.6</v>
      </c>
      <c r="D2429" s="2">
        <v>2.77</v>
      </c>
      <c r="E2429" s="2">
        <v>0.1</v>
      </c>
      <c r="F2429" s="2">
        <v>49.9</v>
      </c>
      <c r="G2429" s="4">
        <v>44461.03348857639</v>
      </c>
      <c r="H2429" s="8">
        <v>44461.0</v>
      </c>
    </row>
    <row r="2430">
      <c r="A2430" s="2">
        <v>0.27</v>
      </c>
      <c r="B2430" s="2">
        <v>233.0</v>
      </c>
      <c r="C2430" s="2">
        <v>6.2</v>
      </c>
      <c r="D2430" s="2">
        <v>2.77</v>
      </c>
      <c r="E2430" s="2">
        <v>0.1</v>
      </c>
      <c r="F2430" s="2">
        <v>50.0</v>
      </c>
      <c r="G2430" s="4">
        <v>44461.03361837963</v>
      </c>
      <c r="H2430" s="8">
        <v>44461.0</v>
      </c>
    </row>
    <row r="2431">
      <c r="A2431" s="2">
        <v>0.29</v>
      </c>
      <c r="B2431" s="2">
        <v>233.0</v>
      </c>
      <c r="C2431" s="2">
        <v>9.6</v>
      </c>
      <c r="D2431" s="2">
        <v>2.77</v>
      </c>
      <c r="E2431" s="2">
        <v>0.14</v>
      </c>
      <c r="F2431" s="2">
        <v>49.9</v>
      </c>
      <c r="G2431" s="4">
        <v>44461.033722430555</v>
      </c>
      <c r="H2431" s="8">
        <v>44461.0</v>
      </c>
    </row>
    <row r="2432">
      <c r="A2432" s="2">
        <v>0.28</v>
      </c>
      <c r="B2432" s="2">
        <v>233.1</v>
      </c>
      <c r="C2432" s="2">
        <v>7.6</v>
      </c>
      <c r="D2432" s="2">
        <v>2.77</v>
      </c>
      <c r="E2432" s="2">
        <v>0.12</v>
      </c>
      <c r="F2432" s="2">
        <v>50.0</v>
      </c>
      <c r="G2432" s="4">
        <v>44461.03382542824</v>
      </c>
      <c r="H2432" s="8">
        <v>44461.0</v>
      </c>
    </row>
    <row r="2433">
      <c r="A2433" s="2">
        <v>0.28</v>
      </c>
      <c r="B2433" s="2">
        <v>233.4</v>
      </c>
      <c r="C2433" s="2">
        <v>6.4</v>
      </c>
      <c r="D2433" s="2">
        <v>2.77</v>
      </c>
      <c r="E2433" s="2">
        <v>0.1</v>
      </c>
      <c r="F2433" s="2">
        <v>50.0</v>
      </c>
      <c r="G2433" s="4">
        <v>44461.03392771991</v>
      </c>
      <c r="H2433" s="8">
        <v>44461.0</v>
      </c>
    </row>
    <row r="2434">
      <c r="A2434" s="2">
        <v>0.29</v>
      </c>
      <c r="B2434" s="2">
        <v>233.4</v>
      </c>
      <c r="C2434" s="2">
        <v>11.7</v>
      </c>
      <c r="D2434" s="2">
        <v>2.77</v>
      </c>
      <c r="E2434" s="2">
        <v>0.17</v>
      </c>
      <c r="F2434" s="2">
        <v>50.0</v>
      </c>
      <c r="G2434" s="4">
        <v>44461.034032337964</v>
      </c>
      <c r="H2434" s="8">
        <v>44461.0</v>
      </c>
    </row>
    <row r="2435">
      <c r="A2435" s="2">
        <v>0.28</v>
      </c>
      <c r="B2435" s="2">
        <v>233.5</v>
      </c>
      <c r="C2435" s="2">
        <v>7.1</v>
      </c>
      <c r="D2435" s="2">
        <v>2.77</v>
      </c>
      <c r="E2435" s="2">
        <v>0.11</v>
      </c>
      <c r="F2435" s="2">
        <v>50.0</v>
      </c>
      <c r="G2435" s="4">
        <v>44461.03413971065</v>
      </c>
      <c r="H2435" s="8">
        <v>44461.0</v>
      </c>
    </row>
    <row r="2436">
      <c r="A2436" s="2">
        <v>0.29</v>
      </c>
      <c r="B2436" s="2">
        <v>233.5</v>
      </c>
      <c r="C2436" s="2">
        <v>10.6</v>
      </c>
      <c r="D2436" s="2">
        <v>2.77</v>
      </c>
      <c r="E2436" s="2">
        <v>0.16</v>
      </c>
      <c r="F2436" s="2">
        <v>50.0</v>
      </c>
      <c r="G2436" s="4">
        <v>44461.0342652199</v>
      </c>
      <c r="H2436" s="8">
        <v>44461.0</v>
      </c>
    </row>
    <row r="2437">
      <c r="A2437" s="2">
        <v>0.29</v>
      </c>
      <c r="B2437" s="2">
        <v>233.5</v>
      </c>
      <c r="C2437" s="2">
        <v>10.1</v>
      </c>
      <c r="D2437" s="2">
        <v>2.77</v>
      </c>
      <c r="E2437" s="2">
        <v>0.15</v>
      </c>
      <c r="F2437" s="2">
        <v>50.0</v>
      </c>
      <c r="G2437" s="4">
        <v>44461.0343866551</v>
      </c>
      <c r="H2437" s="8">
        <v>44461.0</v>
      </c>
    </row>
    <row r="2438">
      <c r="A2438" s="2">
        <v>0.28</v>
      </c>
      <c r="B2438" s="2">
        <v>233.5</v>
      </c>
      <c r="C2438" s="2">
        <v>6.8</v>
      </c>
      <c r="D2438" s="2">
        <v>2.77</v>
      </c>
      <c r="E2438" s="2">
        <v>0.11</v>
      </c>
      <c r="F2438" s="2">
        <v>50.0</v>
      </c>
      <c r="G2438" s="4">
        <v>44461.034493009254</v>
      </c>
      <c r="H2438" s="8">
        <v>44461.0</v>
      </c>
    </row>
    <row r="2439">
      <c r="A2439" s="2">
        <v>0.28</v>
      </c>
      <c r="B2439" s="2">
        <v>233.5</v>
      </c>
      <c r="C2439" s="2">
        <v>7.3</v>
      </c>
      <c r="D2439" s="2">
        <v>2.77</v>
      </c>
      <c r="E2439" s="2">
        <v>0.11</v>
      </c>
      <c r="F2439" s="2">
        <v>50.0</v>
      </c>
      <c r="G2439" s="4">
        <v>44461.03459657407</v>
      </c>
      <c r="H2439" s="8">
        <v>44461.0</v>
      </c>
    </row>
    <row r="2440">
      <c r="A2440" s="2">
        <v>0.28</v>
      </c>
      <c r="B2440" s="2">
        <v>233.5</v>
      </c>
      <c r="C2440" s="2">
        <v>9.3</v>
      </c>
      <c r="D2440" s="2">
        <v>2.77</v>
      </c>
      <c r="E2440" s="2">
        <v>0.14</v>
      </c>
      <c r="F2440" s="2">
        <v>50.0</v>
      </c>
      <c r="G2440" s="4">
        <v>44461.03470304398</v>
      </c>
      <c r="H2440" s="8">
        <v>44461.0</v>
      </c>
    </row>
    <row r="2441">
      <c r="A2441" s="2">
        <v>0.27</v>
      </c>
      <c r="B2441" s="2">
        <v>233.4</v>
      </c>
      <c r="C2441" s="2">
        <v>5.9</v>
      </c>
      <c r="D2441" s="2">
        <v>2.77</v>
      </c>
      <c r="E2441" s="2">
        <v>0.09</v>
      </c>
      <c r="F2441" s="2">
        <v>50.0</v>
      </c>
      <c r="G2441" s="4">
        <v>44461.03481153936</v>
      </c>
      <c r="H2441" s="8">
        <v>44461.0</v>
      </c>
    </row>
    <row r="2442">
      <c r="A2442" s="2">
        <v>0.28</v>
      </c>
      <c r="B2442" s="2">
        <v>233.4</v>
      </c>
      <c r="C2442" s="2">
        <v>8.0</v>
      </c>
      <c r="D2442" s="2">
        <v>2.77</v>
      </c>
      <c r="E2442" s="2">
        <v>0.12</v>
      </c>
      <c r="F2442" s="2">
        <v>50.0</v>
      </c>
      <c r="G2442" s="4">
        <v>44461.03492638889</v>
      </c>
      <c r="H2442" s="8">
        <v>44461.0</v>
      </c>
    </row>
    <row r="2443">
      <c r="A2443" s="2">
        <v>0.28</v>
      </c>
      <c r="B2443" s="2">
        <v>233.2</v>
      </c>
      <c r="C2443" s="2">
        <v>6.4</v>
      </c>
      <c r="D2443" s="2">
        <v>2.77</v>
      </c>
      <c r="E2443" s="2">
        <v>0.1</v>
      </c>
      <c r="F2443" s="2">
        <v>50.0</v>
      </c>
      <c r="G2443" s="4">
        <v>44461.03502804398</v>
      </c>
      <c r="H2443" s="8">
        <v>44461.0</v>
      </c>
    </row>
    <row r="2444">
      <c r="A2444" s="2">
        <v>0.3</v>
      </c>
      <c r="B2444" s="2">
        <v>233.2</v>
      </c>
      <c r="C2444" s="2">
        <v>12.5</v>
      </c>
      <c r="D2444" s="2">
        <v>2.77</v>
      </c>
      <c r="E2444" s="2">
        <v>0.18</v>
      </c>
      <c r="F2444" s="2">
        <v>49.9</v>
      </c>
      <c r="G2444" s="4">
        <v>44461.035136238424</v>
      </c>
      <c r="H2444" s="8">
        <v>44461.0</v>
      </c>
    </row>
    <row r="2445">
      <c r="A2445" s="2">
        <v>0.28</v>
      </c>
      <c r="B2445" s="2">
        <v>233.4</v>
      </c>
      <c r="C2445" s="2">
        <v>6.5</v>
      </c>
      <c r="D2445" s="2">
        <v>2.77</v>
      </c>
      <c r="E2445" s="2">
        <v>0.1</v>
      </c>
      <c r="F2445" s="2">
        <v>49.9</v>
      </c>
      <c r="G2445" s="4">
        <v>44461.03524898148</v>
      </c>
      <c r="H2445" s="8">
        <v>44461.0</v>
      </c>
    </row>
    <row r="2446">
      <c r="A2446" s="2">
        <v>0.28</v>
      </c>
      <c r="B2446" s="2">
        <v>233.5</v>
      </c>
      <c r="C2446" s="2">
        <v>10.0</v>
      </c>
      <c r="D2446" s="2">
        <v>2.77</v>
      </c>
      <c r="E2446" s="2">
        <v>0.15</v>
      </c>
      <c r="F2446" s="2">
        <v>49.9</v>
      </c>
      <c r="G2446" s="4">
        <v>44461.03535844907</v>
      </c>
      <c r="H2446" s="8">
        <v>44461.0</v>
      </c>
    </row>
    <row r="2447">
      <c r="A2447" s="2">
        <v>0.27</v>
      </c>
      <c r="B2447" s="2">
        <v>233.5</v>
      </c>
      <c r="C2447" s="2">
        <v>6.0</v>
      </c>
      <c r="D2447" s="2">
        <v>2.77</v>
      </c>
      <c r="E2447" s="2">
        <v>0.09</v>
      </c>
      <c r="F2447" s="2">
        <v>50.0</v>
      </c>
      <c r="G2447" s="4">
        <v>44461.035465023146</v>
      </c>
      <c r="H2447" s="8">
        <v>44461.0</v>
      </c>
    </row>
    <row r="2448">
      <c r="A2448" s="2">
        <v>0.27</v>
      </c>
      <c r="B2448" s="2">
        <v>233.6</v>
      </c>
      <c r="C2448" s="2">
        <v>6.9</v>
      </c>
      <c r="D2448" s="2">
        <v>2.77</v>
      </c>
      <c r="E2448" s="2">
        <v>0.11</v>
      </c>
      <c r="F2448" s="2">
        <v>50.0</v>
      </c>
      <c r="G2448" s="4">
        <v>44461.035579421296</v>
      </c>
      <c r="H2448" s="8">
        <v>44461.0</v>
      </c>
    </row>
    <row r="2449">
      <c r="A2449" s="2">
        <v>0.29</v>
      </c>
      <c r="B2449" s="2">
        <v>233.6</v>
      </c>
      <c r="C2449" s="2">
        <v>8.4</v>
      </c>
      <c r="D2449" s="2">
        <v>2.77</v>
      </c>
      <c r="E2449" s="2">
        <v>0.12</v>
      </c>
      <c r="F2449" s="2">
        <v>50.0</v>
      </c>
      <c r="G2449" s="4">
        <v>44461.035688159725</v>
      </c>
      <c r="H2449" s="8">
        <v>44461.0</v>
      </c>
    </row>
    <row r="2450">
      <c r="A2450" s="2">
        <v>0.27</v>
      </c>
      <c r="B2450" s="2">
        <v>233.6</v>
      </c>
      <c r="C2450" s="2">
        <v>6.3</v>
      </c>
      <c r="D2450" s="2">
        <v>2.77</v>
      </c>
      <c r="E2450" s="2">
        <v>0.1</v>
      </c>
      <c r="F2450" s="2">
        <v>50.0</v>
      </c>
      <c r="G2450" s="4">
        <v>44461.035794641204</v>
      </c>
      <c r="H2450" s="8">
        <v>44461.0</v>
      </c>
    </row>
    <row r="2451">
      <c r="A2451" s="2">
        <v>0.28</v>
      </c>
      <c r="B2451" s="2">
        <v>233.7</v>
      </c>
      <c r="C2451" s="2">
        <v>6.5</v>
      </c>
      <c r="D2451" s="2">
        <v>2.77</v>
      </c>
      <c r="E2451" s="2">
        <v>0.1</v>
      </c>
      <c r="F2451" s="2">
        <v>50.0</v>
      </c>
      <c r="G2451" s="4">
        <v>44461.035903055556</v>
      </c>
      <c r="H2451" s="8">
        <v>44461.0</v>
      </c>
    </row>
    <row r="2452">
      <c r="A2452" s="2">
        <v>0.27</v>
      </c>
      <c r="B2452" s="2">
        <v>233.6</v>
      </c>
      <c r="C2452" s="2">
        <v>5.8</v>
      </c>
      <c r="D2452" s="2">
        <v>2.77</v>
      </c>
      <c r="E2452" s="2">
        <v>0.09</v>
      </c>
      <c r="F2452" s="2">
        <v>50.0</v>
      </c>
      <c r="G2452" s="4">
        <v>44461.0360119213</v>
      </c>
      <c r="H2452" s="8">
        <v>44461.0</v>
      </c>
    </row>
    <row r="2453">
      <c r="A2453" s="2">
        <v>0.28</v>
      </c>
      <c r="B2453" s="2">
        <v>233.5</v>
      </c>
      <c r="C2453" s="2">
        <v>8.1</v>
      </c>
      <c r="D2453" s="2">
        <v>2.77</v>
      </c>
      <c r="E2453" s="2">
        <v>0.12</v>
      </c>
      <c r="F2453" s="2">
        <v>50.0</v>
      </c>
      <c r="G2453" s="4">
        <v>44461.0361165162</v>
      </c>
      <c r="H2453" s="8">
        <v>44461.0</v>
      </c>
    </row>
    <row r="2454">
      <c r="A2454" s="2">
        <v>0.3</v>
      </c>
      <c r="B2454" s="2">
        <v>233.4</v>
      </c>
      <c r="C2454" s="2">
        <v>12.9</v>
      </c>
      <c r="D2454" s="2">
        <v>2.77</v>
      </c>
      <c r="E2454" s="2">
        <v>0.18</v>
      </c>
      <c r="F2454" s="2">
        <v>49.9</v>
      </c>
      <c r="G2454" s="4">
        <v>44461.03621744213</v>
      </c>
      <c r="H2454" s="8">
        <v>44461.0</v>
      </c>
    </row>
    <row r="2455">
      <c r="A2455" s="2">
        <v>0.27</v>
      </c>
      <c r="B2455" s="2">
        <v>233.3</v>
      </c>
      <c r="C2455" s="2">
        <v>5.9</v>
      </c>
      <c r="D2455" s="2">
        <v>2.77</v>
      </c>
      <c r="E2455" s="2">
        <v>0.09</v>
      </c>
      <c r="F2455" s="2">
        <v>50.0</v>
      </c>
      <c r="G2455" s="4">
        <v>44461.036320451385</v>
      </c>
      <c r="H2455" s="8">
        <v>44461.0</v>
      </c>
    </row>
    <row r="2456">
      <c r="A2456" s="2">
        <v>0.29</v>
      </c>
      <c r="B2456" s="2">
        <v>233.1</v>
      </c>
      <c r="C2456" s="2">
        <v>11.1</v>
      </c>
      <c r="D2456" s="2">
        <v>2.77</v>
      </c>
      <c r="E2456" s="2">
        <v>0.16</v>
      </c>
      <c r="F2456" s="2">
        <v>49.9</v>
      </c>
      <c r="G2456" s="4">
        <v>44461.03642891203</v>
      </c>
      <c r="H2456" s="8">
        <v>44461.0</v>
      </c>
    </row>
    <row r="2457">
      <c r="A2457" s="2">
        <v>0.28</v>
      </c>
      <c r="B2457" s="2">
        <v>233.1</v>
      </c>
      <c r="C2457" s="2">
        <v>6.8</v>
      </c>
      <c r="D2457" s="2">
        <v>2.77</v>
      </c>
      <c r="E2457" s="2">
        <v>0.11</v>
      </c>
      <c r="F2457" s="2">
        <v>49.9</v>
      </c>
      <c r="G2457" s="4">
        <v>44461.03654037037</v>
      </c>
      <c r="H2457" s="8">
        <v>44461.0</v>
      </c>
    </row>
    <row r="2458">
      <c r="A2458" s="2">
        <v>0.3</v>
      </c>
      <c r="B2458" s="2">
        <v>233.2</v>
      </c>
      <c r="C2458" s="2">
        <v>12.0</v>
      </c>
      <c r="D2458" s="2">
        <v>2.77</v>
      </c>
      <c r="E2458" s="2">
        <v>0.17</v>
      </c>
      <c r="F2458" s="2">
        <v>50.0</v>
      </c>
      <c r="G2458" s="4">
        <v>44461.03664369213</v>
      </c>
      <c r="H2458" s="8">
        <v>44461.0</v>
      </c>
    </row>
    <row r="2459">
      <c r="A2459" s="2">
        <v>0.27</v>
      </c>
      <c r="B2459" s="2">
        <v>233.3</v>
      </c>
      <c r="C2459" s="2">
        <v>5.6</v>
      </c>
      <c r="D2459" s="2">
        <v>2.77</v>
      </c>
      <c r="E2459" s="2">
        <v>0.09</v>
      </c>
      <c r="F2459" s="2">
        <v>50.0</v>
      </c>
      <c r="G2459" s="4">
        <v>44461.03675109954</v>
      </c>
      <c r="H2459" s="8">
        <v>44461.0</v>
      </c>
    </row>
    <row r="2460">
      <c r="A2460" s="2">
        <v>0.29</v>
      </c>
      <c r="B2460" s="2">
        <v>233.3</v>
      </c>
      <c r="C2460" s="2">
        <v>10.9</v>
      </c>
      <c r="D2460" s="2">
        <v>2.77</v>
      </c>
      <c r="E2460" s="2">
        <v>0.16</v>
      </c>
      <c r="F2460" s="2">
        <v>50.0</v>
      </c>
      <c r="G2460" s="4">
        <v>44461.03685668981</v>
      </c>
      <c r="H2460" s="8">
        <v>44461.0</v>
      </c>
    </row>
    <row r="2461">
      <c r="A2461" s="2">
        <v>0.27</v>
      </c>
      <c r="B2461" s="2">
        <v>233.3</v>
      </c>
      <c r="C2461" s="2">
        <v>5.7</v>
      </c>
      <c r="D2461" s="2">
        <v>2.77</v>
      </c>
      <c r="E2461" s="2">
        <v>0.09</v>
      </c>
      <c r="F2461" s="2">
        <v>50.0</v>
      </c>
      <c r="G2461" s="4">
        <v>44461.03696140046</v>
      </c>
      <c r="H2461" s="8">
        <v>44461.0</v>
      </c>
    </row>
    <row r="2462">
      <c r="A2462" s="2">
        <v>0.3</v>
      </c>
      <c r="B2462" s="2">
        <v>233.3</v>
      </c>
      <c r="C2462" s="2">
        <v>12.1</v>
      </c>
      <c r="D2462" s="2">
        <v>2.77</v>
      </c>
      <c r="E2462" s="2">
        <v>0.17</v>
      </c>
      <c r="F2462" s="2">
        <v>50.0</v>
      </c>
      <c r="G2462" s="4">
        <v>44461.03706549769</v>
      </c>
      <c r="H2462" s="8">
        <v>44461.0</v>
      </c>
    </row>
    <row r="2463">
      <c r="A2463" s="2">
        <v>0.27</v>
      </c>
      <c r="B2463" s="2">
        <v>233.4</v>
      </c>
      <c r="C2463" s="2">
        <v>6.0</v>
      </c>
      <c r="D2463" s="2">
        <v>2.77</v>
      </c>
      <c r="E2463" s="2">
        <v>0.09</v>
      </c>
      <c r="F2463" s="2">
        <v>50.0</v>
      </c>
      <c r="G2463" s="4">
        <v>44461.03717011574</v>
      </c>
      <c r="H2463" s="8">
        <v>44461.0</v>
      </c>
    </row>
    <row r="2464">
      <c r="A2464" s="2">
        <v>0.29</v>
      </c>
      <c r="B2464" s="2">
        <v>233.4</v>
      </c>
      <c r="C2464" s="2">
        <v>9.4</v>
      </c>
      <c r="D2464" s="2">
        <v>2.77</v>
      </c>
      <c r="E2464" s="2">
        <v>0.14</v>
      </c>
      <c r="F2464" s="2">
        <v>50.0</v>
      </c>
      <c r="G2464" s="4">
        <v>44461.0373262963</v>
      </c>
      <c r="H2464" s="8">
        <v>44461.0</v>
      </c>
    </row>
    <row r="2465">
      <c r="A2465" s="2">
        <v>0.29</v>
      </c>
      <c r="B2465" s="2">
        <v>233.4</v>
      </c>
      <c r="C2465" s="2">
        <v>10.9</v>
      </c>
      <c r="D2465" s="2">
        <v>2.77</v>
      </c>
      <c r="E2465" s="2">
        <v>0.16</v>
      </c>
      <c r="F2465" s="2">
        <v>50.0</v>
      </c>
      <c r="G2465" s="4">
        <v>44461.037435185186</v>
      </c>
      <c r="H2465" s="8">
        <v>44461.0</v>
      </c>
    </row>
    <row r="2466">
      <c r="A2466" s="2">
        <v>0.27</v>
      </c>
      <c r="B2466" s="2">
        <v>233.4</v>
      </c>
      <c r="C2466" s="2">
        <v>5.8</v>
      </c>
      <c r="D2466" s="2">
        <v>2.77</v>
      </c>
      <c r="E2466" s="2">
        <v>0.09</v>
      </c>
      <c r="F2466" s="2">
        <v>50.0</v>
      </c>
      <c r="G2466" s="4">
        <v>44461.03753836805</v>
      </c>
      <c r="H2466" s="8">
        <v>44461.0</v>
      </c>
    </row>
    <row r="2467">
      <c r="A2467" s="2">
        <v>0.3</v>
      </c>
      <c r="B2467" s="2">
        <v>233.3</v>
      </c>
      <c r="C2467" s="2">
        <v>12.0</v>
      </c>
      <c r="D2467" s="2">
        <v>2.77</v>
      </c>
      <c r="E2467" s="2">
        <v>0.17</v>
      </c>
      <c r="F2467" s="2">
        <v>50.0</v>
      </c>
      <c r="G2467" s="4">
        <v>44461.037641840274</v>
      </c>
      <c r="H2467" s="8">
        <v>44461.0</v>
      </c>
    </row>
    <row r="2468">
      <c r="A2468" s="2">
        <v>0.27</v>
      </c>
      <c r="B2468" s="2">
        <v>233.3</v>
      </c>
      <c r="C2468" s="2">
        <v>7.0</v>
      </c>
      <c r="D2468" s="2">
        <v>2.77</v>
      </c>
      <c r="E2468" s="2">
        <v>0.11</v>
      </c>
      <c r="F2468" s="2">
        <v>50.0</v>
      </c>
      <c r="G2468" s="4">
        <v>44461.037747870374</v>
      </c>
      <c r="H2468" s="8">
        <v>44461.0</v>
      </c>
    </row>
    <row r="2469">
      <c r="A2469" s="2">
        <v>0.29</v>
      </c>
      <c r="B2469" s="2">
        <v>233.2</v>
      </c>
      <c r="C2469" s="2">
        <v>8.7</v>
      </c>
      <c r="D2469" s="2">
        <v>2.77</v>
      </c>
      <c r="E2469" s="2">
        <v>0.13</v>
      </c>
      <c r="F2469" s="2">
        <v>49.9</v>
      </c>
      <c r="G2469" s="4">
        <v>44461.03785635417</v>
      </c>
      <c r="H2469" s="8">
        <v>44461.0</v>
      </c>
    </row>
    <row r="2470">
      <c r="A2470" s="2">
        <v>0.27</v>
      </c>
      <c r="B2470" s="2">
        <v>233.2</v>
      </c>
      <c r="C2470" s="2">
        <v>6.0</v>
      </c>
      <c r="D2470" s="2">
        <v>2.77</v>
      </c>
      <c r="E2470" s="2">
        <v>0.09</v>
      </c>
      <c r="F2470" s="2">
        <v>49.9</v>
      </c>
      <c r="G2470" s="4">
        <v>44461.03796731481</v>
      </c>
      <c r="H2470" s="8">
        <v>44461.0</v>
      </c>
    </row>
    <row r="2471">
      <c r="A2471" s="2">
        <v>0.27</v>
      </c>
      <c r="B2471" s="2">
        <v>233.0</v>
      </c>
      <c r="C2471" s="2">
        <v>6.3</v>
      </c>
      <c r="D2471" s="2">
        <v>2.77</v>
      </c>
      <c r="E2471" s="2">
        <v>0.1</v>
      </c>
      <c r="F2471" s="2">
        <v>49.9</v>
      </c>
      <c r="G2471" s="4">
        <v>44461.038119351855</v>
      </c>
      <c r="H2471" s="8">
        <v>44461.0</v>
      </c>
    </row>
    <row r="2472">
      <c r="A2472" s="2">
        <v>0.3</v>
      </c>
      <c r="B2472" s="2">
        <v>233.0</v>
      </c>
      <c r="C2472" s="2">
        <v>11.5</v>
      </c>
      <c r="D2472" s="2">
        <v>2.77</v>
      </c>
      <c r="E2472" s="2">
        <v>0.16</v>
      </c>
      <c r="F2472" s="2">
        <v>49.9</v>
      </c>
      <c r="G2472" s="4">
        <v>44461.03822212963</v>
      </c>
      <c r="H2472" s="8">
        <v>44461.0</v>
      </c>
    </row>
    <row r="2473">
      <c r="A2473" s="2">
        <v>0.27</v>
      </c>
      <c r="B2473" s="2">
        <v>233.1</v>
      </c>
      <c r="C2473" s="2">
        <v>6.0</v>
      </c>
      <c r="D2473" s="2">
        <v>2.77</v>
      </c>
      <c r="E2473" s="2">
        <v>0.09</v>
      </c>
      <c r="F2473" s="2">
        <v>50.0</v>
      </c>
      <c r="G2473" s="4">
        <v>44461.03832739583</v>
      </c>
      <c r="H2473" s="8">
        <v>44461.0</v>
      </c>
    </row>
    <row r="2474">
      <c r="A2474" s="2">
        <v>0.29</v>
      </c>
      <c r="B2474" s="2">
        <v>233.2</v>
      </c>
      <c r="C2474" s="2">
        <v>9.2</v>
      </c>
      <c r="D2474" s="2">
        <v>2.77</v>
      </c>
      <c r="E2474" s="2">
        <v>0.14</v>
      </c>
      <c r="F2474" s="2">
        <v>49.9</v>
      </c>
      <c r="G2474" s="4">
        <v>44461.03843453704</v>
      </c>
      <c r="H2474" s="8">
        <v>44461.0</v>
      </c>
    </row>
    <row r="2475">
      <c r="A2475" s="2">
        <v>0.28</v>
      </c>
      <c r="B2475" s="2">
        <v>233.3</v>
      </c>
      <c r="C2475" s="2">
        <v>6.9</v>
      </c>
      <c r="D2475" s="2">
        <v>2.77</v>
      </c>
      <c r="E2475" s="2">
        <v>0.11</v>
      </c>
      <c r="F2475" s="2">
        <v>50.0</v>
      </c>
      <c r="G2475" s="4">
        <v>44461.03854324074</v>
      </c>
      <c r="H2475" s="8">
        <v>44461.0</v>
      </c>
    </row>
    <row r="2476">
      <c r="A2476" s="2">
        <v>0.28</v>
      </c>
      <c r="B2476" s="2">
        <v>233.3</v>
      </c>
      <c r="C2476" s="2">
        <v>7.0</v>
      </c>
      <c r="D2476" s="2">
        <v>2.77</v>
      </c>
      <c r="E2476" s="2">
        <v>0.11</v>
      </c>
      <c r="F2476" s="2">
        <v>50.0</v>
      </c>
      <c r="G2476" s="4">
        <v>44461.038648437505</v>
      </c>
      <c r="H2476" s="8">
        <v>44461.0</v>
      </c>
    </row>
    <row r="2477">
      <c r="A2477" s="2">
        <v>0.28</v>
      </c>
      <c r="B2477" s="2">
        <v>233.5</v>
      </c>
      <c r="C2477" s="2">
        <v>7.8</v>
      </c>
      <c r="D2477" s="2">
        <v>2.77</v>
      </c>
      <c r="E2477" s="2">
        <v>0.12</v>
      </c>
      <c r="F2477" s="2">
        <v>50.0</v>
      </c>
      <c r="G2477" s="4">
        <v>44461.038750127314</v>
      </c>
      <c r="H2477" s="8">
        <v>44461.0</v>
      </c>
    </row>
    <row r="2478">
      <c r="A2478" s="2">
        <v>0.27</v>
      </c>
      <c r="B2478" s="2">
        <v>233.5</v>
      </c>
      <c r="C2478" s="2">
        <v>5.7</v>
      </c>
      <c r="D2478" s="2">
        <v>2.77</v>
      </c>
      <c r="E2478" s="2">
        <v>0.09</v>
      </c>
      <c r="F2478" s="2">
        <v>50.0</v>
      </c>
      <c r="G2478" s="4">
        <v>44461.03885700231</v>
      </c>
      <c r="H2478" s="8">
        <v>44461.0</v>
      </c>
    </row>
    <row r="2479">
      <c r="A2479" s="2">
        <v>0.28</v>
      </c>
      <c r="B2479" s="2">
        <v>233.4</v>
      </c>
      <c r="C2479" s="2">
        <v>6.6</v>
      </c>
      <c r="D2479" s="2">
        <v>2.77</v>
      </c>
      <c r="E2479" s="2">
        <v>0.1</v>
      </c>
      <c r="F2479" s="2">
        <v>50.0</v>
      </c>
      <c r="G2479" s="4">
        <v>44461.03897060185</v>
      </c>
      <c r="H2479" s="8">
        <v>44461.0</v>
      </c>
    </row>
    <row r="2480">
      <c r="A2480" s="2">
        <v>0.28</v>
      </c>
      <c r="B2480" s="2">
        <v>233.5</v>
      </c>
      <c r="C2480" s="2">
        <v>7.1</v>
      </c>
      <c r="D2480" s="2">
        <v>2.77</v>
      </c>
      <c r="E2480" s="2">
        <v>0.11</v>
      </c>
      <c r="F2480" s="2">
        <v>50.0</v>
      </c>
      <c r="G2480" s="4">
        <v>44461.03914540509</v>
      </c>
      <c r="H2480" s="8">
        <v>44461.0</v>
      </c>
    </row>
    <row r="2481">
      <c r="A2481" s="2">
        <v>0.27</v>
      </c>
      <c r="B2481" s="2">
        <v>233.2</v>
      </c>
      <c r="C2481" s="2">
        <v>6.5</v>
      </c>
      <c r="D2481" s="2">
        <v>2.77</v>
      </c>
      <c r="E2481" s="2">
        <v>0.1</v>
      </c>
      <c r="F2481" s="2">
        <v>50.0</v>
      </c>
      <c r="G2481" s="4">
        <v>44461.03924752315</v>
      </c>
      <c r="H2481" s="8">
        <v>44461.0</v>
      </c>
    </row>
    <row r="2482">
      <c r="A2482" s="2">
        <v>0.27</v>
      </c>
      <c r="B2482" s="2">
        <v>233.1</v>
      </c>
      <c r="C2482" s="2">
        <v>6.0</v>
      </c>
      <c r="D2482" s="2">
        <v>2.77</v>
      </c>
      <c r="E2482" s="2">
        <v>0.09</v>
      </c>
      <c r="F2482" s="2">
        <v>49.9</v>
      </c>
      <c r="G2482" s="4">
        <v>44461.03941171296</v>
      </c>
      <c r="H2482" s="8">
        <v>44461.0</v>
      </c>
    </row>
    <row r="2483">
      <c r="A2483" s="2">
        <v>0.28</v>
      </c>
      <c r="B2483" s="2">
        <v>233.1</v>
      </c>
      <c r="C2483" s="2">
        <v>9.7</v>
      </c>
      <c r="D2483" s="2">
        <v>2.77</v>
      </c>
      <c r="E2483" s="2">
        <v>0.15</v>
      </c>
      <c r="F2483" s="2">
        <v>50.0</v>
      </c>
      <c r="G2483" s="4">
        <v>44461.03952520833</v>
      </c>
      <c r="H2483" s="8">
        <v>44461.0</v>
      </c>
    </row>
    <row r="2484">
      <c r="A2484" s="2">
        <v>0.28</v>
      </c>
      <c r="B2484" s="2">
        <v>233.1</v>
      </c>
      <c r="C2484" s="2">
        <v>6.8</v>
      </c>
      <c r="D2484" s="2">
        <v>2.77</v>
      </c>
      <c r="E2484" s="2">
        <v>0.11</v>
      </c>
      <c r="F2484" s="2">
        <v>49.9</v>
      </c>
      <c r="G2484" s="4">
        <v>44461.03962862269</v>
      </c>
      <c r="H2484" s="8">
        <v>44461.0</v>
      </c>
    </row>
    <row r="2485">
      <c r="A2485" s="2">
        <v>0.3</v>
      </c>
      <c r="B2485" s="2">
        <v>233.1</v>
      </c>
      <c r="C2485" s="2">
        <v>12.6</v>
      </c>
      <c r="D2485" s="2">
        <v>2.77</v>
      </c>
      <c r="E2485" s="2">
        <v>0.18</v>
      </c>
      <c r="F2485" s="2">
        <v>50.0</v>
      </c>
      <c r="G2485" s="4">
        <v>44461.03973297453</v>
      </c>
      <c r="H2485" s="8">
        <v>44461.0</v>
      </c>
    </row>
    <row r="2486">
      <c r="A2486" s="2">
        <v>0.27</v>
      </c>
      <c r="B2486" s="2">
        <v>233.3</v>
      </c>
      <c r="C2486" s="2">
        <v>5.6</v>
      </c>
      <c r="D2486" s="2">
        <v>2.77</v>
      </c>
      <c r="E2486" s="2">
        <v>0.09</v>
      </c>
      <c r="F2486" s="2">
        <v>49.9</v>
      </c>
      <c r="G2486" s="4">
        <v>44461.0398416088</v>
      </c>
      <c r="H2486" s="8">
        <v>44461.0</v>
      </c>
    </row>
    <row r="2487">
      <c r="A2487" s="2">
        <v>0.29</v>
      </c>
      <c r="B2487" s="2">
        <v>233.3</v>
      </c>
      <c r="C2487" s="2">
        <v>10.4</v>
      </c>
      <c r="D2487" s="2">
        <v>2.77</v>
      </c>
      <c r="E2487" s="2">
        <v>0.15</v>
      </c>
      <c r="F2487" s="2">
        <v>50.0</v>
      </c>
      <c r="G2487" s="4">
        <v>44461.03995153935</v>
      </c>
      <c r="H2487" s="8">
        <v>44461.0</v>
      </c>
    </row>
    <row r="2488">
      <c r="A2488" s="2">
        <v>0.27</v>
      </c>
      <c r="B2488" s="2">
        <v>233.3</v>
      </c>
      <c r="C2488" s="2">
        <v>6.1</v>
      </c>
      <c r="D2488" s="2">
        <v>2.77</v>
      </c>
      <c r="E2488" s="2">
        <v>0.1</v>
      </c>
      <c r="F2488" s="2">
        <v>50.0</v>
      </c>
      <c r="G2488" s="4">
        <v>44461.04005892361</v>
      </c>
      <c r="H2488" s="8">
        <v>44461.0</v>
      </c>
    </row>
    <row r="2489">
      <c r="A2489" s="2">
        <v>0.3</v>
      </c>
      <c r="B2489" s="2">
        <v>233.4</v>
      </c>
      <c r="C2489" s="2">
        <v>12.3</v>
      </c>
      <c r="D2489" s="2">
        <v>2.77</v>
      </c>
      <c r="E2489" s="2">
        <v>0.18</v>
      </c>
      <c r="F2489" s="2">
        <v>50.0</v>
      </c>
      <c r="G2489" s="4">
        <v>44461.04016880787</v>
      </c>
      <c r="H2489" s="8">
        <v>44461.0</v>
      </c>
    </row>
    <row r="2490">
      <c r="A2490" s="2">
        <v>0.28</v>
      </c>
      <c r="B2490" s="2">
        <v>233.3</v>
      </c>
      <c r="C2490" s="2">
        <v>6.0</v>
      </c>
      <c r="D2490" s="2">
        <v>2.77</v>
      </c>
      <c r="E2490" s="2">
        <v>0.09</v>
      </c>
      <c r="F2490" s="2">
        <v>50.0</v>
      </c>
      <c r="G2490" s="4">
        <v>44461.040290833334</v>
      </c>
      <c r="H2490" s="8">
        <v>44461.0</v>
      </c>
    </row>
    <row r="2491">
      <c r="A2491" s="2">
        <v>0.28</v>
      </c>
      <c r="B2491" s="2">
        <v>233.6</v>
      </c>
      <c r="C2491" s="2">
        <v>6.4</v>
      </c>
      <c r="D2491" s="2">
        <v>2.77</v>
      </c>
      <c r="E2491" s="2">
        <v>0.1</v>
      </c>
      <c r="F2491" s="2">
        <v>50.0</v>
      </c>
      <c r="G2491" s="4">
        <v>44461.04039490741</v>
      </c>
      <c r="H2491" s="8">
        <v>44461.0</v>
      </c>
    </row>
    <row r="2492">
      <c r="A2492" s="2">
        <v>0.27</v>
      </c>
      <c r="B2492" s="2">
        <v>233.7</v>
      </c>
      <c r="C2492" s="2">
        <v>6.0</v>
      </c>
      <c r="D2492" s="2">
        <v>2.77</v>
      </c>
      <c r="E2492" s="2">
        <v>0.09</v>
      </c>
      <c r="F2492" s="2">
        <v>50.0</v>
      </c>
      <c r="G2492" s="4">
        <v>44461.040536817134</v>
      </c>
      <c r="H2492" s="8">
        <v>44461.0</v>
      </c>
    </row>
    <row r="2493">
      <c r="A2493" s="2">
        <v>0.28</v>
      </c>
      <c r="B2493" s="2">
        <v>233.8</v>
      </c>
      <c r="C2493" s="2">
        <v>6.2</v>
      </c>
      <c r="D2493" s="2">
        <v>2.77</v>
      </c>
      <c r="E2493" s="2">
        <v>0.1</v>
      </c>
      <c r="F2493" s="2">
        <v>50.0</v>
      </c>
      <c r="G2493" s="4">
        <v>44461.040645497684</v>
      </c>
      <c r="H2493" s="8">
        <v>44461.0</v>
      </c>
    </row>
    <row r="2494">
      <c r="A2494" s="2">
        <v>0.28</v>
      </c>
      <c r="B2494" s="2">
        <v>233.8</v>
      </c>
      <c r="C2494" s="2">
        <v>9.5</v>
      </c>
      <c r="D2494" s="2">
        <v>2.77</v>
      </c>
      <c r="E2494" s="2">
        <v>0.14</v>
      </c>
      <c r="F2494" s="2">
        <v>50.0</v>
      </c>
      <c r="G2494" s="4">
        <v>44461.040750127315</v>
      </c>
      <c r="H2494" s="8">
        <v>44461.0</v>
      </c>
    </row>
    <row r="2495">
      <c r="A2495" s="2">
        <v>0.27</v>
      </c>
      <c r="B2495" s="2">
        <v>233.9</v>
      </c>
      <c r="C2495" s="2">
        <v>5.2</v>
      </c>
      <c r="D2495" s="2">
        <v>2.77</v>
      </c>
      <c r="E2495" s="2">
        <v>0.08</v>
      </c>
      <c r="F2495" s="2">
        <v>50.0</v>
      </c>
      <c r="G2495" s="4">
        <v>44461.040850000005</v>
      </c>
      <c r="H2495" s="8">
        <v>44461.0</v>
      </c>
    </row>
    <row r="2496">
      <c r="A2496" s="2">
        <v>0.29</v>
      </c>
      <c r="B2496" s="2">
        <v>234.0</v>
      </c>
      <c r="C2496" s="2">
        <v>10.7</v>
      </c>
      <c r="D2496" s="2">
        <v>2.77</v>
      </c>
      <c r="E2496" s="2">
        <v>0.16</v>
      </c>
      <c r="F2496" s="2">
        <v>50.0</v>
      </c>
      <c r="G2496" s="4">
        <v>44461.04095284722</v>
      </c>
      <c r="H2496" s="8">
        <v>44461.0</v>
      </c>
    </row>
    <row r="2497">
      <c r="A2497" s="2">
        <v>0.27</v>
      </c>
      <c r="B2497" s="2">
        <v>233.9</v>
      </c>
      <c r="C2497" s="2">
        <v>5.6</v>
      </c>
      <c r="D2497" s="2">
        <v>2.77</v>
      </c>
      <c r="E2497" s="2">
        <v>0.09</v>
      </c>
      <c r="F2497" s="2">
        <v>50.0</v>
      </c>
      <c r="G2497" s="4">
        <v>44461.04106016204</v>
      </c>
      <c r="H2497" s="8">
        <v>44461.0</v>
      </c>
    </row>
    <row r="2498">
      <c r="A2498" s="2">
        <v>0.28</v>
      </c>
      <c r="B2498" s="2">
        <v>233.8</v>
      </c>
      <c r="C2498" s="2">
        <v>9.6</v>
      </c>
      <c r="D2498" s="2">
        <v>2.77</v>
      </c>
      <c r="E2498" s="2">
        <v>0.14</v>
      </c>
      <c r="F2498" s="2">
        <v>50.0</v>
      </c>
      <c r="G2498" s="4">
        <v>44461.04117780093</v>
      </c>
      <c r="H2498" s="8">
        <v>44461.0</v>
      </c>
    </row>
    <row r="2499">
      <c r="A2499" s="2">
        <v>0.28</v>
      </c>
      <c r="B2499" s="2">
        <v>233.8</v>
      </c>
      <c r="C2499" s="2">
        <v>5.8</v>
      </c>
      <c r="D2499" s="2">
        <v>2.77</v>
      </c>
      <c r="E2499" s="2">
        <v>0.09</v>
      </c>
      <c r="F2499" s="2">
        <v>50.0</v>
      </c>
      <c r="G2499" s="4">
        <v>44461.041278749995</v>
      </c>
      <c r="H2499" s="8">
        <v>44461.0</v>
      </c>
    </row>
    <row r="2500">
      <c r="A2500" s="2">
        <v>0.3</v>
      </c>
      <c r="B2500" s="2">
        <v>233.7</v>
      </c>
      <c r="C2500" s="2">
        <v>12.0</v>
      </c>
      <c r="D2500" s="2">
        <v>2.77</v>
      </c>
      <c r="E2500" s="2">
        <v>0.17</v>
      </c>
      <c r="F2500" s="2">
        <v>50.0</v>
      </c>
      <c r="G2500" s="4">
        <v>44461.04138476852</v>
      </c>
      <c r="H2500" s="8">
        <v>44461.0</v>
      </c>
    </row>
    <row r="2501">
      <c r="A2501" s="2">
        <v>0.27</v>
      </c>
      <c r="B2501" s="2">
        <v>233.8</v>
      </c>
      <c r="C2501" s="2">
        <v>5.2</v>
      </c>
      <c r="D2501" s="2">
        <v>2.77</v>
      </c>
      <c r="E2501" s="2">
        <v>0.08</v>
      </c>
      <c r="F2501" s="2">
        <v>50.0</v>
      </c>
      <c r="G2501" s="4">
        <v>44461.04149099537</v>
      </c>
      <c r="H2501" s="8">
        <v>44461.0</v>
      </c>
    </row>
    <row r="2502">
      <c r="A2502" s="2">
        <v>0.28</v>
      </c>
      <c r="B2502" s="2">
        <v>233.9</v>
      </c>
      <c r="C2502" s="2">
        <v>6.3</v>
      </c>
      <c r="D2502" s="2">
        <v>2.77</v>
      </c>
      <c r="E2502" s="2">
        <v>0.1</v>
      </c>
      <c r="F2502" s="2">
        <v>50.0</v>
      </c>
      <c r="G2502" s="4">
        <v>44461.04163331019</v>
      </c>
      <c r="H2502" s="8">
        <v>44461.0</v>
      </c>
    </row>
    <row r="2503">
      <c r="A2503" s="2">
        <v>0.28</v>
      </c>
      <c r="B2503" s="2">
        <v>234.0</v>
      </c>
      <c r="C2503" s="2">
        <v>8.7</v>
      </c>
      <c r="D2503" s="2">
        <v>2.77</v>
      </c>
      <c r="E2503" s="2">
        <v>0.13</v>
      </c>
      <c r="F2503" s="2">
        <v>50.0</v>
      </c>
      <c r="G2503" s="4">
        <v>44461.04173895833</v>
      </c>
      <c r="H2503" s="8">
        <v>44461.0</v>
      </c>
    </row>
    <row r="2504">
      <c r="A2504" s="2">
        <v>0.28</v>
      </c>
      <c r="B2504" s="2">
        <v>234.0</v>
      </c>
      <c r="C2504" s="2">
        <v>6.4</v>
      </c>
      <c r="D2504" s="2">
        <v>2.77</v>
      </c>
      <c r="E2504" s="2">
        <v>0.1</v>
      </c>
      <c r="F2504" s="2">
        <v>50.0</v>
      </c>
      <c r="G2504" s="4">
        <v>44461.041843425926</v>
      </c>
      <c r="H2504" s="8">
        <v>44461.0</v>
      </c>
    </row>
    <row r="2505">
      <c r="A2505" s="2">
        <v>0.29</v>
      </c>
      <c r="B2505" s="2">
        <v>233.9</v>
      </c>
      <c r="C2505" s="2">
        <v>11.6</v>
      </c>
      <c r="D2505" s="2">
        <v>2.77</v>
      </c>
      <c r="E2505" s="2">
        <v>0.17</v>
      </c>
      <c r="F2505" s="2">
        <v>50.0</v>
      </c>
      <c r="G2505" s="4">
        <v>44461.04194648148</v>
      </c>
      <c r="H2505" s="8">
        <v>44461.0</v>
      </c>
    </row>
    <row r="2506">
      <c r="A2506" s="2">
        <v>0.27</v>
      </c>
      <c r="B2506" s="2">
        <v>233.8</v>
      </c>
      <c r="C2506" s="2">
        <v>5.8</v>
      </c>
      <c r="D2506" s="2">
        <v>2.77</v>
      </c>
      <c r="E2506" s="2">
        <v>0.09</v>
      </c>
      <c r="F2506" s="2">
        <v>50.0</v>
      </c>
      <c r="G2506" s="4">
        <v>44461.04205038195</v>
      </c>
      <c r="H2506" s="8">
        <v>44461.0</v>
      </c>
    </row>
    <row r="2507">
      <c r="A2507" s="2">
        <v>0.3</v>
      </c>
      <c r="B2507" s="2">
        <v>233.8</v>
      </c>
      <c r="C2507" s="2">
        <v>12.3</v>
      </c>
      <c r="D2507" s="2">
        <v>2.77</v>
      </c>
      <c r="E2507" s="2">
        <v>0.17</v>
      </c>
      <c r="F2507" s="2">
        <v>49.9</v>
      </c>
      <c r="G2507" s="4">
        <v>44461.04216304398</v>
      </c>
      <c r="H2507" s="8">
        <v>44461.0</v>
      </c>
    </row>
    <row r="2508">
      <c r="A2508" s="2">
        <v>0.28</v>
      </c>
      <c r="B2508" s="2">
        <v>233.7</v>
      </c>
      <c r="C2508" s="2">
        <v>6.6</v>
      </c>
      <c r="D2508" s="2">
        <v>2.77</v>
      </c>
      <c r="E2508" s="2">
        <v>0.1</v>
      </c>
      <c r="F2508" s="2">
        <v>49.9</v>
      </c>
      <c r="G2508" s="4">
        <v>44461.042269363425</v>
      </c>
      <c r="H2508" s="8">
        <v>44461.0</v>
      </c>
    </row>
    <row r="2509">
      <c r="A2509" s="2">
        <v>0.28</v>
      </c>
      <c r="B2509" s="2">
        <v>233.7</v>
      </c>
      <c r="C2509" s="2">
        <v>9.0</v>
      </c>
      <c r="D2509" s="2">
        <v>2.77</v>
      </c>
      <c r="E2509" s="2">
        <v>0.14</v>
      </c>
      <c r="F2509" s="2">
        <v>49.9</v>
      </c>
      <c r="G2509" s="4">
        <v>44461.04237473379</v>
      </c>
      <c r="H2509" s="8">
        <v>44461.0</v>
      </c>
    </row>
    <row r="2510">
      <c r="A2510" s="2">
        <v>0.28</v>
      </c>
      <c r="B2510" s="2">
        <v>233.7</v>
      </c>
      <c r="C2510" s="2">
        <v>6.7</v>
      </c>
      <c r="D2510" s="2">
        <v>2.77</v>
      </c>
      <c r="E2510" s="2">
        <v>0.1</v>
      </c>
      <c r="F2510" s="2">
        <v>49.9</v>
      </c>
      <c r="G2510" s="4">
        <v>44461.04247615741</v>
      </c>
      <c r="H2510" s="8">
        <v>44461.0</v>
      </c>
    </row>
    <row r="2511">
      <c r="A2511" s="2">
        <v>0.28</v>
      </c>
      <c r="B2511" s="2">
        <v>233.7</v>
      </c>
      <c r="C2511" s="2">
        <v>8.7</v>
      </c>
      <c r="D2511" s="2">
        <v>2.77</v>
      </c>
      <c r="E2511" s="2">
        <v>0.13</v>
      </c>
      <c r="F2511" s="2">
        <v>49.9</v>
      </c>
      <c r="G2511" s="4">
        <v>44461.042585393516</v>
      </c>
      <c r="H2511" s="8">
        <v>44461.0</v>
      </c>
    </row>
    <row r="2512">
      <c r="A2512" s="2">
        <v>0.27</v>
      </c>
      <c r="B2512" s="2">
        <v>233.6</v>
      </c>
      <c r="C2512" s="2">
        <v>5.6</v>
      </c>
      <c r="D2512" s="2">
        <v>2.77</v>
      </c>
      <c r="E2512" s="2">
        <v>0.09</v>
      </c>
      <c r="F2512" s="2">
        <v>49.9</v>
      </c>
      <c r="G2512" s="4">
        <v>44461.04269527778</v>
      </c>
      <c r="H2512" s="8">
        <v>44461.0</v>
      </c>
    </row>
    <row r="2513">
      <c r="A2513" s="2">
        <v>0.28</v>
      </c>
      <c r="B2513" s="2">
        <v>233.6</v>
      </c>
      <c r="C2513" s="2">
        <v>6.4</v>
      </c>
      <c r="D2513" s="2">
        <v>2.77</v>
      </c>
      <c r="E2513" s="2">
        <v>0.1</v>
      </c>
      <c r="F2513" s="2">
        <v>50.0</v>
      </c>
      <c r="G2513" s="4">
        <v>44461.0428075463</v>
      </c>
      <c r="H2513" s="8">
        <v>44461.0</v>
      </c>
    </row>
    <row r="2514">
      <c r="A2514" s="2">
        <v>0.28</v>
      </c>
      <c r="B2514" s="2">
        <v>233.5</v>
      </c>
      <c r="C2514" s="2">
        <v>6.2</v>
      </c>
      <c r="D2514" s="2">
        <v>2.77</v>
      </c>
      <c r="E2514" s="2">
        <v>0.1</v>
      </c>
      <c r="F2514" s="2">
        <v>49.9</v>
      </c>
      <c r="G2514" s="4">
        <v>44461.04290850695</v>
      </c>
      <c r="H2514" s="8">
        <v>44461.0</v>
      </c>
    </row>
    <row r="2515">
      <c r="A2515" s="2">
        <v>0.28</v>
      </c>
      <c r="B2515" s="2">
        <v>233.7</v>
      </c>
      <c r="C2515" s="2">
        <v>8.3</v>
      </c>
      <c r="D2515" s="2">
        <v>2.77</v>
      </c>
      <c r="E2515" s="2">
        <v>0.13</v>
      </c>
      <c r="F2515" s="2">
        <v>50.0</v>
      </c>
      <c r="G2515" s="4">
        <v>44461.04301234953</v>
      </c>
      <c r="H2515" s="8">
        <v>44461.0</v>
      </c>
    </row>
    <row r="2516">
      <c r="A2516" s="2">
        <v>0.28</v>
      </c>
      <c r="B2516" s="2">
        <v>233.5</v>
      </c>
      <c r="C2516" s="2">
        <v>6.3</v>
      </c>
      <c r="D2516" s="2">
        <v>2.77</v>
      </c>
      <c r="E2516" s="2">
        <v>0.1</v>
      </c>
      <c r="F2516" s="2">
        <v>50.0</v>
      </c>
      <c r="G2516" s="4">
        <v>44461.04311832176</v>
      </c>
      <c r="H2516" s="8">
        <v>44461.0</v>
      </c>
    </row>
    <row r="2517">
      <c r="A2517" s="2">
        <v>0.27</v>
      </c>
      <c r="B2517" s="2">
        <v>233.6</v>
      </c>
      <c r="C2517" s="2">
        <v>6.1</v>
      </c>
      <c r="D2517" s="2">
        <v>2.77</v>
      </c>
      <c r="E2517" s="2">
        <v>0.1</v>
      </c>
      <c r="F2517" s="2">
        <v>50.0</v>
      </c>
      <c r="G2517" s="4">
        <v>44461.04322972222</v>
      </c>
      <c r="H2517" s="8">
        <v>44461.0</v>
      </c>
    </row>
    <row r="2518">
      <c r="A2518" s="2">
        <v>0.28</v>
      </c>
      <c r="B2518" s="2">
        <v>233.7</v>
      </c>
      <c r="C2518" s="2">
        <v>7.5</v>
      </c>
      <c r="D2518" s="2">
        <v>2.77</v>
      </c>
      <c r="E2518" s="2">
        <v>0.11</v>
      </c>
      <c r="F2518" s="2">
        <v>50.0</v>
      </c>
      <c r="G2518" s="4">
        <v>44461.04333792824</v>
      </c>
      <c r="H2518" s="8">
        <v>44461.0</v>
      </c>
    </row>
    <row r="2519">
      <c r="A2519" s="2">
        <v>0.27</v>
      </c>
      <c r="B2519" s="2">
        <v>233.7</v>
      </c>
      <c r="C2519" s="2">
        <v>5.8</v>
      </c>
      <c r="D2519" s="2">
        <v>2.77</v>
      </c>
      <c r="E2519" s="2">
        <v>0.09</v>
      </c>
      <c r="F2519" s="2">
        <v>50.0</v>
      </c>
      <c r="G2519" s="4">
        <v>44461.04343788195</v>
      </c>
      <c r="H2519" s="8">
        <v>44461.0</v>
      </c>
    </row>
    <row r="2520">
      <c r="A2520" s="2">
        <v>0.28</v>
      </c>
      <c r="B2520" s="2">
        <v>233.7</v>
      </c>
      <c r="C2520" s="2">
        <v>7.2</v>
      </c>
      <c r="D2520" s="2">
        <v>2.77</v>
      </c>
      <c r="E2520" s="2">
        <v>0.11</v>
      </c>
      <c r="F2520" s="2">
        <v>50.0</v>
      </c>
      <c r="G2520" s="4">
        <v>44461.043546064815</v>
      </c>
      <c r="H2520" s="8">
        <v>44461.0</v>
      </c>
    </row>
    <row r="2521">
      <c r="A2521" s="2">
        <v>0.27</v>
      </c>
      <c r="B2521" s="2">
        <v>233.7</v>
      </c>
      <c r="C2521" s="2">
        <v>5.3</v>
      </c>
      <c r="D2521" s="2">
        <v>2.77</v>
      </c>
      <c r="E2521" s="2">
        <v>0.08</v>
      </c>
      <c r="F2521" s="2">
        <v>50.0</v>
      </c>
      <c r="G2521" s="4">
        <v>44461.04365943287</v>
      </c>
      <c r="H2521" s="8">
        <v>44461.0</v>
      </c>
    </row>
    <row r="2522">
      <c r="A2522" s="2">
        <v>0.28</v>
      </c>
      <c r="B2522" s="2">
        <v>233.8</v>
      </c>
      <c r="C2522" s="2">
        <v>10.0</v>
      </c>
      <c r="D2522" s="2">
        <v>2.77</v>
      </c>
      <c r="E2522" s="2">
        <v>0.15</v>
      </c>
      <c r="F2522" s="2">
        <v>50.0</v>
      </c>
      <c r="G2522" s="4">
        <v>44461.043777638886</v>
      </c>
      <c r="H2522" s="8">
        <v>44461.0</v>
      </c>
    </row>
    <row r="2523">
      <c r="A2523" s="2">
        <v>0.28</v>
      </c>
      <c r="B2523" s="2">
        <v>233.7</v>
      </c>
      <c r="C2523" s="2">
        <v>6.2</v>
      </c>
      <c r="D2523" s="2">
        <v>2.77</v>
      </c>
      <c r="E2523" s="2">
        <v>0.1</v>
      </c>
      <c r="F2523" s="2">
        <v>50.0</v>
      </c>
      <c r="G2523" s="4">
        <v>44461.04388096065</v>
      </c>
      <c r="H2523" s="8">
        <v>44461.0</v>
      </c>
    </row>
    <row r="2524">
      <c r="A2524" s="2">
        <v>0.29</v>
      </c>
      <c r="B2524" s="2">
        <v>233.5</v>
      </c>
      <c r="C2524" s="2">
        <v>11.6</v>
      </c>
      <c r="D2524" s="2">
        <v>2.77</v>
      </c>
      <c r="E2524" s="2">
        <v>0.17</v>
      </c>
      <c r="F2524" s="2">
        <v>50.0</v>
      </c>
      <c r="G2524" s="4">
        <v>44461.043987453704</v>
      </c>
      <c r="H2524" s="8">
        <v>44461.0</v>
      </c>
    </row>
    <row r="2525">
      <c r="A2525" s="2">
        <v>0.27</v>
      </c>
      <c r="B2525" s="2">
        <v>233.5</v>
      </c>
      <c r="C2525" s="2">
        <v>6.3</v>
      </c>
      <c r="D2525" s="2">
        <v>2.77</v>
      </c>
      <c r="E2525" s="2">
        <v>0.1</v>
      </c>
      <c r="F2525" s="2">
        <v>50.0</v>
      </c>
      <c r="G2525" s="4">
        <v>44461.04409497685</v>
      </c>
      <c r="H2525" s="8">
        <v>44461.0</v>
      </c>
    </row>
    <row r="2526">
      <c r="A2526" s="2">
        <v>0.3</v>
      </c>
      <c r="B2526" s="2">
        <v>233.4</v>
      </c>
      <c r="C2526" s="2">
        <v>12.2</v>
      </c>
      <c r="D2526" s="2">
        <v>2.77</v>
      </c>
      <c r="E2526" s="2">
        <v>0.18</v>
      </c>
      <c r="F2526" s="2">
        <v>49.9</v>
      </c>
      <c r="G2526" s="4">
        <v>44461.0441970949</v>
      </c>
      <c r="H2526" s="8">
        <v>44461.0</v>
      </c>
    </row>
    <row r="2527">
      <c r="A2527" s="2">
        <v>0.27</v>
      </c>
      <c r="B2527" s="2">
        <v>233.4</v>
      </c>
      <c r="C2527" s="2">
        <v>6.4</v>
      </c>
      <c r="D2527" s="2">
        <v>2.77</v>
      </c>
      <c r="E2527" s="2">
        <v>0.1</v>
      </c>
      <c r="F2527" s="2">
        <v>49.9</v>
      </c>
      <c r="G2527" s="4">
        <v>44461.04430318287</v>
      </c>
      <c r="H2527" s="8">
        <v>44461.0</v>
      </c>
    </row>
    <row r="2528">
      <c r="A2528" s="2">
        <v>0.3</v>
      </c>
      <c r="B2528" s="2">
        <v>233.4</v>
      </c>
      <c r="C2528" s="2">
        <v>11.8</v>
      </c>
      <c r="D2528" s="2">
        <v>2.77</v>
      </c>
      <c r="E2528" s="2">
        <v>0.17</v>
      </c>
      <c r="F2528" s="2">
        <v>49.9</v>
      </c>
      <c r="G2528" s="4">
        <v>44461.0444078588</v>
      </c>
      <c r="H2528" s="8">
        <v>44461.0</v>
      </c>
    </row>
    <row r="2529">
      <c r="A2529" s="2">
        <v>0.27</v>
      </c>
      <c r="B2529" s="2">
        <v>233.5</v>
      </c>
      <c r="C2529" s="2">
        <v>6.0</v>
      </c>
      <c r="D2529" s="2">
        <v>2.77</v>
      </c>
      <c r="E2529" s="2">
        <v>0.09</v>
      </c>
      <c r="F2529" s="2">
        <v>49.9</v>
      </c>
      <c r="G2529" s="4">
        <v>44461.04452726852</v>
      </c>
      <c r="H2529" s="8">
        <v>44461.0</v>
      </c>
    </row>
    <row r="2530">
      <c r="A2530" s="2">
        <v>0.27</v>
      </c>
      <c r="B2530" s="2">
        <v>233.4</v>
      </c>
      <c r="C2530" s="2">
        <v>6.4</v>
      </c>
      <c r="D2530" s="2">
        <v>2.77</v>
      </c>
      <c r="E2530" s="2">
        <v>0.1</v>
      </c>
      <c r="F2530" s="2">
        <v>49.9</v>
      </c>
      <c r="G2530" s="4">
        <v>44461.044649131945</v>
      </c>
      <c r="H2530" s="8">
        <v>44461.0</v>
      </c>
    </row>
    <row r="2531">
      <c r="A2531" s="2">
        <v>0.3</v>
      </c>
      <c r="B2531" s="2">
        <v>233.2</v>
      </c>
      <c r="C2531" s="2">
        <v>12.0</v>
      </c>
      <c r="D2531" s="2">
        <v>2.77</v>
      </c>
      <c r="E2531" s="2">
        <v>0.17</v>
      </c>
      <c r="F2531" s="2">
        <v>50.0</v>
      </c>
      <c r="G2531" s="4">
        <v>44461.04476563657</v>
      </c>
      <c r="H2531" s="8">
        <v>44461.0</v>
      </c>
    </row>
    <row r="2532">
      <c r="A2532" s="2">
        <v>0.28</v>
      </c>
      <c r="B2532" s="2">
        <v>233.3</v>
      </c>
      <c r="C2532" s="2">
        <v>6.7</v>
      </c>
      <c r="D2532" s="2">
        <v>2.77</v>
      </c>
      <c r="E2532" s="2">
        <v>0.1</v>
      </c>
      <c r="F2532" s="2">
        <v>50.0</v>
      </c>
      <c r="G2532" s="4">
        <v>44461.04487556713</v>
      </c>
      <c r="H2532" s="8">
        <v>44461.0</v>
      </c>
    </row>
    <row r="2533">
      <c r="A2533" s="2">
        <v>0.27</v>
      </c>
      <c r="B2533" s="2">
        <v>233.4</v>
      </c>
      <c r="C2533" s="2">
        <v>6.6</v>
      </c>
      <c r="D2533" s="2">
        <v>2.77</v>
      </c>
      <c r="E2533" s="2">
        <v>0.1</v>
      </c>
      <c r="F2533" s="2">
        <v>50.0</v>
      </c>
      <c r="G2533" s="4">
        <v>44461.04498436343</v>
      </c>
      <c r="H2533" s="8">
        <v>44461.0</v>
      </c>
    </row>
    <row r="2534">
      <c r="A2534" s="2">
        <v>0.28</v>
      </c>
      <c r="B2534" s="2">
        <v>234.5</v>
      </c>
      <c r="C2534" s="2">
        <v>6.0</v>
      </c>
      <c r="D2534" s="2">
        <v>2.77</v>
      </c>
      <c r="E2534" s="2">
        <v>0.09</v>
      </c>
      <c r="F2534" s="2">
        <v>50.0</v>
      </c>
      <c r="G2534" s="4">
        <v>44461.04509181713</v>
      </c>
      <c r="H2534" s="8">
        <v>44461.0</v>
      </c>
    </row>
    <row r="2535">
      <c r="A2535" s="2">
        <v>0.27</v>
      </c>
      <c r="B2535" s="2">
        <v>234.5</v>
      </c>
      <c r="C2535" s="2">
        <v>5.3</v>
      </c>
      <c r="D2535" s="2">
        <v>2.77</v>
      </c>
      <c r="E2535" s="2">
        <v>0.08</v>
      </c>
      <c r="F2535" s="2">
        <v>50.0</v>
      </c>
      <c r="G2535" s="4">
        <v>44461.04520084491</v>
      </c>
      <c r="H2535" s="8">
        <v>44461.0</v>
      </c>
    </row>
    <row r="2536">
      <c r="A2536" s="2">
        <v>0.28</v>
      </c>
      <c r="B2536" s="2">
        <v>234.4</v>
      </c>
      <c r="C2536" s="2">
        <v>7.0</v>
      </c>
      <c r="D2536" s="2">
        <v>2.77</v>
      </c>
      <c r="E2536" s="2">
        <v>0.11</v>
      </c>
      <c r="F2536" s="2">
        <v>50.0</v>
      </c>
      <c r="G2536" s="4">
        <v>44461.04531159722</v>
      </c>
      <c r="H2536" s="8">
        <v>44461.0</v>
      </c>
    </row>
    <row r="2537">
      <c r="A2537" s="2">
        <v>0.28</v>
      </c>
      <c r="B2537" s="2">
        <v>234.3</v>
      </c>
      <c r="C2537" s="2">
        <v>6.4</v>
      </c>
      <c r="D2537" s="2">
        <v>2.77</v>
      </c>
      <c r="E2537" s="2">
        <v>0.1</v>
      </c>
      <c r="F2537" s="2">
        <v>50.0</v>
      </c>
      <c r="G2537" s="4">
        <v>44461.04541502315</v>
      </c>
      <c r="H2537" s="8">
        <v>44461.0</v>
      </c>
    </row>
    <row r="2538">
      <c r="A2538" s="2">
        <v>0.28</v>
      </c>
      <c r="B2538" s="2">
        <v>234.3</v>
      </c>
      <c r="C2538" s="2">
        <v>6.3</v>
      </c>
      <c r="D2538" s="2">
        <v>2.77</v>
      </c>
      <c r="E2538" s="2">
        <v>0.1</v>
      </c>
      <c r="F2538" s="2">
        <v>50.0</v>
      </c>
      <c r="G2538" s="4">
        <v>44461.045524236106</v>
      </c>
      <c r="H2538" s="8">
        <v>44461.0</v>
      </c>
    </row>
    <row r="2539">
      <c r="A2539" s="2">
        <v>0.27</v>
      </c>
      <c r="B2539" s="2">
        <v>234.2</v>
      </c>
      <c r="C2539" s="2">
        <v>5.9</v>
      </c>
      <c r="D2539" s="2">
        <v>2.77</v>
      </c>
      <c r="E2539" s="2">
        <v>0.09</v>
      </c>
      <c r="F2539" s="2">
        <v>50.0</v>
      </c>
      <c r="G2539" s="4">
        <v>44461.045638020834</v>
      </c>
      <c r="H2539" s="8">
        <v>44461.0</v>
      </c>
    </row>
    <row r="2540">
      <c r="A2540" s="2">
        <v>0.29</v>
      </c>
      <c r="B2540" s="2">
        <v>234.2</v>
      </c>
      <c r="C2540" s="2">
        <v>9.0</v>
      </c>
      <c r="D2540" s="2">
        <v>2.77</v>
      </c>
      <c r="E2540" s="2">
        <v>0.13</v>
      </c>
      <c r="F2540" s="2">
        <v>50.0</v>
      </c>
      <c r="G2540" s="4">
        <v>44461.04573857639</v>
      </c>
      <c r="H2540" s="8">
        <v>44461.0</v>
      </c>
    </row>
    <row r="2541">
      <c r="A2541" s="2">
        <v>0.27</v>
      </c>
      <c r="B2541" s="2">
        <v>234.1</v>
      </c>
      <c r="C2541" s="2">
        <v>5.9</v>
      </c>
      <c r="D2541" s="2">
        <v>2.77</v>
      </c>
      <c r="E2541" s="2">
        <v>0.09</v>
      </c>
      <c r="F2541" s="2">
        <v>49.9</v>
      </c>
      <c r="G2541" s="4">
        <v>44461.04584637731</v>
      </c>
      <c r="H2541" s="8">
        <v>44461.0</v>
      </c>
    </row>
    <row r="2542">
      <c r="A2542" s="2">
        <v>0.3</v>
      </c>
      <c r="B2542" s="2">
        <v>234.0</v>
      </c>
      <c r="C2542" s="2">
        <v>10.5</v>
      </c>
      <c r="D2542" s="2">
        <v>2.77</v>
      </c>
      <c r="E2542" s="2">
        <v>0.15</v>
      </c>
      <c r="F2542" s="2">
        <v>49.9</v>
      </c>
      <c r="G2542" s="4">
        <v>44461.045959780095</v>
      </c>
      <c r="H2542" s="8">
        <v>44461.0</v>
      </c>
    </row>
    <row r="2543">
      <c r="A2543" s="2">
        <v>0.27</v>
      </c>
      <c r="B2543" s="2">
        <v>234.1</v>
      </c>
      <c r="C2543" s="2">
        <v>5.3</v>
      </c>
      <c r="D2543" s="2">
        <v>2.77</v>
      </c>
      <c r="E2543" s="2">
        <v>0.08</v>
      </c>
      <c r="F2543" s="2">
        <v>49.9</v>
      </c>
      <c r="G2543" s="4">
        <v>44461.04606512732</v>
      </c>
      <c r="H2543" s="8">
        <v>44461.0</v>
      </c>
    </row>
    <row r="2544">
      <c r="A2544" s="2">
        <v>0.29</v>
      </c>
      <c r="B2544" s="2">
        <v>234.0</v>
      </c>
      <c r="C2544" s="2">
        <v>8.6</v>
      </c>
      <c r="D2544" s="2">
        <v>2.77</v>
      </c>
      <c r="E2544" s="2">
        <v>0.13</v>
      </c>
      <c r="F2544" s="2">
        <v>49.9</v>
      </c>
      <c r="G2544" s="4">
        <v>44461.04617290509</v>
      </c>
      <c r="H2544" s="8">
        <v>44461.0</v>
      </c>
    </row>
    <row r="2545">
      <c r="A2545" s="2">
        <v>0.27</v>
      </c>
      <c r="B2545" s="2">
        <v>233.9</v>
      </c>
      <c r="C2545" s="2">
        <v>5.7</v>
      </c>
      <c r="D2545" s="2">
        <v>2.77</v>
      </c>
      <c r="E2545" s="2">
        <v>0.09</v>
      </c>
      <c r="F2545" s="2">
        <v>49.9</v>
      </c>
      <c r="G2545" s="4">
        <v>44461.046283483796</v>
      </c>
      <c r="H2545" s="8">
        <v>44461.0</v>
      </c>
    </row>
    <row r="2546">
      <c r="A2546" s="2">
        <v>0.3</v>
      </c>
      <c r="B2546" s="2">
        <v>234.0</v>
      </c>
      <c r="C2546" s="2">
        <v>12.3</v>
      </c>
      <c r="D2546" s="2">
        <v>2.77</v>
      </c>
      <c r="E2546" s="2">
        <v>0.17</v>
      </c>
      <c r="F2546" s="2">
        <v>49.9</v>
      </c>
      <c r="G2546" s="4">
        <v>44461.04639270833</v>
      </c>
      <c r="H2546" s="8">
        <v>44461.0</v>
      </c>
    </row>
    <row r="2547">
      <c r="A2547" s="2">
        <v>0.28</v>
      </c>
      <c r="B2547" s="2">
        <v>234.0</v>
      </c>
      <c r="C2547" s="2">
        <v>6.6</v>
      </c>
      <c r="D2547" s="2">
        <v>2.77</v>
      </c>
      <c r="E2547" s="2">
        <v>0.1</v>
      </c>
      <c r="F2547" s="2">
        <v>50.0</v>
      </c>
      <c r="G2547" s="4">
        <v>44461.04650166667</v>
      </c>
      <c r="H2547" s="8">
        <v>44461.0</v>
      </c>
    </row>
    <row r="2548">
      <c r="A2548" s="2">
        <v>0.3</v>
      </c>
      <c r="B2548" s="2">
        <v>234.1</v>
      </c>
      <c r="C2548" s="2">
        <v>10.7</v>
      </c>
      <c r="D2548" s="2">
        <v>2.77</v>
      </c>
      <c r="E2548" s="2">
        <v>0.15</v>
      </c>
      <c r="F2548" s="2">
        <v>50.0</v>
      </c>
      <c r="G2548" s="4">
        <v>44461.04660634259</v>
      </c>
      <c r="H2548" s="8">
        <v>44461.0</v>
      </c>
    </row>
    <row r="2549">
      <c r="A2549" s="2">
        <v>0.28</v>
      </c>
      <c r="B2549" s="2">
        <v>234.2</v>
      </c>
      <c r="C2549" s="2">
        <v>6.4</v>
      </c>
      <c r="D2549" s="2">
        <v>2.77</v>
      </c>
      <c r="E2549" s="2">
        <v>0.1</v>
      </c>
      <c r="F2549" s="2">
        <v>50.0</v>
      </c>
      <c r="G2549" s="4">
        <v>44461.04671545139</v>
      </c>
      <c r="H2549" s="8">
        <v>44461.0</v>
      </c>
    </row>
    <row r="2550">
      <c r="A2550" s="2">
        <v>0.29</v>
      </c>
      <c r="B2550" s="2">
        <v>234.2</v>
      </c>
      <c r="C2550" s="2">
        <v>10.2</v>
      </c>
      <c r="D2550" s="2">
        <v>2.77</v>
      </c>
      <c r="E2550" s="2">
        <v>0.15</v>
      </c>
      <c r="F2550" s="2">
        <v>50.0</v>
      </c>
      <c r="G2550" s="4">
        <v>44461.04682092593</v>
      </c>
      <c r="H2550" s="8">
        <v>44461.0</v>
      </c>
    </row>
    <row r="2551">
      <c r="A2551" s="2">
        <v>0.28</v>
      </c>
      <c r="B2551" s="2">
        <v>234.1</v>
      </c>
      <c r="C2551" s="2">
        <v>6.2</v>
      </c>
      <c r="D2551" s="2">
        <v>2.77</v>
      </c>
      <c r="E2551" s="2">
        <v>0.1</v>
      </c>
      <c r="F2551" s="2">
        <v>50.0</v>
      </c>
      <c r="G2551" s="4">
        <v>44461.04693049769</v>
      </c>
      <c r="H2551" s="8">
        <v>44461.0</v>
      </c>
    </row>
    <row r="2552">
      <c r="A2552" s="2">
        <v>0.27</v>
      </c>
      <c r="B2552" s="2">
        <v>234.2</v>
      </c>
      <c r="C2552" s="2">
        <v>5.6</v>
      </c>
      <c r="D2552" s="2">
        <v>2.77</v>
      </c>
      <c r="E2552" s="2">
        <v>0.09</v>
      </c>
      <c r="F2552" s="2">
        <v>50.0</v>
      </c>
      <c r="G2552" s="4">
        <v>44461.04703883102</v>
      </c>
      <c r="H2552" s="8">
        <v>44461.0</v>
      </c>
    </row>
    <row r="2553">
      <c r="A2553" s="2">
        <v>0.28</v>
      </c>
      <c r="B2553" s="2">
        <v>234.5</v>
      </c>
      <c r="C2553" s="2">
        <v>7.2</v>
      </c>
      <c r="D2553" s="2">
        <v>2.77</v>
      </c>
      <c r="E2553" s="2">
        <v>0.11</v>
      </c>
      <c r="F2553" s="2">
        <v>50.0</v>
      </c>
      <c r="G2553" s="4">
        <v>44461.04714578704</v>
      </c>
      <c r="H2553" s="8">
        <v>44461.0</v>
      </c>
    </row>
    <row r="2554">
      <c r="A2554" s="2">
        <v>0.28</v>
      </c>
      <c r="B2554" s="2">
        <v>234.4</v>
      </c>
      <c r="C2554" s="2">
        <v>7.8</v>
      </c>
      <c r="D2554" s="2">
        <v>2.77</v>
      </c>
      <c r="E2554" s="2">
        <v>0.12</v>
      </c>
      <c r="F2554" s="2">
        <v>50.0</v>
      </c>
      <c r="G2554" s="4">
        <v>44461.04725379629</v>
      </c>
      <c r="H2554" s="8">
        <v>44461.0</v>
      </c>
    </row>
    <row r="2555">
      <c r="A2555" s="2">
        <v>0.29</v>
      </c>
      <c r="B2555" s="2">
        <v>234.3</v>
      </c>
      <c r="C2555" s="2">
        <v>9.3</v>
      </c>
      <c r="D2555" s="2">
        <v>2.77</v>
      </c>
      <c r="E2555" s="2">
        <v>0.14</v>
      </c>
      <c r="F2555" s="2">
        <v>50.0</v>
      </c>
      <c r="G2555" s="4">
        <v>44461.04735853009</v>
      </c>
      <c r="H2555" s="8">
        <v>44461.0</v>
      </c>
    </row>
    <row r="2556">
      <c r="A2556" s="2">
        <v>0.28</v>
      </c>
      <c r="B2556" s="2">
        <v>234.3</v>
      </c>
      <c r="C2556" s="2">
        <v>8.8</v>
      </c>
      <c r="D2556" s="2">
        <v>2.77</v>
      </c>
      <c r="E2556" s="2">
        <v>0.13</v>
      </c>
      <c r="F2556" s="2">
        <v>49.9</v>
      </c>
      <c r="G2556" s="4">
        <v>44461.0474612963</v>
      </c>
      <c r="H2556" s="8">
        <v>44461.0</v>
      </c>
    </row>
    <row r="2557">
      <c r="A2557" s="2">
        <v>0.28</v>
      </c>
      <c r="B2557" s="2">
        <v>234.3</v>
      </c>
      <c r="C2557" s="2">
        <v>6.0</v>
      </c>
      <c r="D2557" s="2">
        <v>2.77</v>
      </c>
      <c r="E2557" s="2">
        <v>0.09</v>
      </c>
      <c r="F2557" s="2">
        <v>49.9</v>
      </c>
      <c r="G2557" s="4">
        <v>44461.04757011574</v>
      </c>
      <c r="H2557" s="8">
        <v>44461.0</v>
      </c>
    </row>
    <row r="2558">
      <c r="A2558" s="2">
        <v>0.27</v>
      </c>
      <c r="B2558" s="2">
        <v>234.2</v>
      </c>
      <c r="C2558" s="2">
        <v>5.9</v>
      </c>
      <c r="D2558" s="2">
        <v>2.77</v>
      </c>
      <c r="E2558" s="2">
        <v>0.09</v>
      </c>
      <c r="F2558" s="2">
        <v>49.9</v>
      </c>
      <c r="G2558" s="4">
        <v>44461.0476787963</v>
      </c>
      <c r="H2558" s="8">
        <v>44461.0</v>
      </c>
    </row>
    <row r="2559">
      <c r="A2559" s="2">
        <v>0.3</v>
      </c>
      <c r="B2559" s="2">
        <v>234.3</v>
      </c>
      <c r="C2559" s="2">
        <v>10.4</v>
      </c>
      <c r="D2559" s="2">
        <v>2.77</v>
      </c>
      <c r="E2559" s="2">
        <v>0.15</v>
      </c>
      <c r="F2559" s="2">
        <v>49.9</v>
      </c>
      <c r="G2559" s="4">
        <v>44461.047781574074</v>
      </c>
      <c r="H2559" s="8">
        <v>44461.0</v>
      </c>
    </row>
    <row r="2560">
      <c r="A2560" s="2">
        <v>0.27</v>
      </c>
      <c r="B2560" s="2">
        <v>234.2</v>
      </c>
      <c r="C2560" s="2">
        <v>5.3</v>
      </c>
      <c r="D2560" s="2">
        <v>2.77</v>
      </c>
      <c r="E2560" s="2">
        <v>0.08</v>
      </c>
      <c r="F2560" s="2">
        <v>49.9</v>
      </c>
      <c r="G2560" s="4">
        <v>44461.04788804398</v>
      </c>
      <c r="H2560" s="8">
        <v>44461.0</v>
      </c>
    </row>
    <row r="2561">
      <c r="A2561" s="2">
        <v>0.28</v>
      </c>
      <c r="B2561" s="2">
        <v>234.2</v>
      </c>
      <c r="C2561" s="2">
        <v>8.9</v>
      </c>
      <c r="D2561" s="2">
        <v>2.77</v>
      </c>
      <c r="E2561" s="2">
        <v>0.14</v>
      </c>
      <c r="F2561" s="2">
        <v>50.0</v>
      </c>
      <c r="G2561" s="4">
        <v>44461.047998842594</v>
      </c>
      <c r="H2561" s="8">
        <v>44461.0</v>
      </c>
    </row>
    <row r="2562">
      <c r="A2562" s="2">
        <v>0.28</v>
      </c>
      <c r="B2562" s="2">
        <v>234.2</v>
      </c>
      <c r="C2562" s="2">
        <v>6.0</v>
      </c>
      <c r="D2562" s="2">
        <v>2.77</v>
      </c>
      <c r="E2562" s="2">
        <v>0.09</v>
      </c>
      <c r="F2562" s="2">
        <v>49.9</v>
      </c>
      <c r="G2562" s="4">
        <v>44461.04810018519</v>
      </c>
      <c r="H2562" s="8">
        <v>44461.0</v>
      </c>
    </row>
    <row r="2563">
      <c r="A2563" s="2">
        <v>0.3</v>
      </c>
      <c r="B2563" s="2">
        <v>234.2</v>
      </c>
      <c r="C2563" s="2">
        <v>10.6</v>
      </c>
      <c r="D2563" s="2">
        <v>2.77</v>
      </c>
      <c r="E2563" s="2">
        <v>0.15</v>
      </c>
      <c r="F2563" s="2">
        <v>50.0</v>
      </c>
      <c r="G2563" s="4">
        <v>44461.04820709491</v>
      </c>
      <c r="H2563" s="8">
        <v>44461.0</v>
      </c>
    </row>
    <row r="2564">
      <c r="A2564" s="2">
        <v>0.27</v>
      </c>
      <c r="B2564" s="2">
        <v>234.1</v>
      </c>
      <c r="C2564" s="2">
        <v>5.7</v>
      </c>
      <c r="D2564" s="2">
        <v>2.77</v>
      </c>
      <c r="E2564" s="2">
        <v>0.09</v>
      </c>
      <c r="F2564" s="2">
        <v>49.9</v>
      </c>
      <c r="G2564" s="4">
        <v>44461.048321863425</v>
      </c>
      <c r="H2564" s="8">
        <v>44461.0</v>
      </c>
    </row>
    <row r="2565">
      <c r="A2565" s="2">
        <v>0.27</v>
      </c>
      <c r="B2565" s="2">
        <v>234.1</v>
      </c>
      <c r="C2565" s="2">
        <v>5.4</v>
      </c>
      <c r="D2565" s="2">
        <v>2.77</v>
      </c>
      <c r="E2565" s="2">
        <v>0.09</v>
      </c>
      <c r="F2565" s="2">
        <v>49.9</v>
      </c>
      <c r="G2565" s="4">
        <v>44461.04842619213</v>
      </c>
      <c r="H2565" s="8">
        <v>44461.0</v>
      </c>
    </row>
    <row r="2566">
      <c r="A2566" s="2">
        <v>0.3</v>
      </c>
      <c r="B2566" s="2">
        <v>234.1</v>
      </c>
      <c r="C2566" s="2">
        <v>10.5</v>
      </c>
      <c r="D2566" s="2">
        <v>2.77</v>
      </c>
      <c r="E2566" s="2">
        <v>0.15</v>
      </c>
      <c r="F2566" s="2">
        <v>49.9</v>
      </c>
      <c r="G2566" s="4">
        <v>44461.048534305555</v>
      </c>
      <c r="H2566" s="8">
        <v>44461.0</v>
      </c>
    </row>
    <row r="2567">
      <c r="A2567" s="2">
        <v>0.27</v>
      </c>
      <c r="B2567" s="2">
        <v>234.1</v>
      </c>
      <c r="C2567" s="2">
        <v>5.9</v>
      </c>
      <c r="D2567" s="2">
        <v>2.77</v>
      </c>
      <c r="E2567" s="2">
        <v>0.09</v>
      </c>
      <c r="F2567" s="2">
        <v>49.9</v>
      </c>
      <c r="G2567" s="4">
        <v>44461.04864770833</v>
      </c>
      <c r="H2567" s="8">
        <v>44461.0</v>
      </c>
    </row>
    <row r="2568">
      <c r="A2568" s="2">
        <v>0.29</v>
      </c>
      <c r="B2568" s="2">
        <v>234.2</v>
      </c>
      <c r="C2568" s="2">
        <v>11.1</v>
      </c>
      <c r="D2568" s="2">
        <v>2.77</v>
      </c>
      <c r="E2568" s="2">
        <v>0.16</v>
      </c>
      <c r="F2568" s="2">
        <v>50.0</v>
      </c>
      <c r="G2568" s="4">
        <v>44461.04875768519</v>
      </c>
      <c r="H2568" s="8">
        <v>44461.0</v>
      </c>
    </row>
    <row r="2569">
      <c r="A2569" s="2">
        <v>0.28</v>
      </c>
      <c r="B2569" s="2">
        <v>234.0</v>
      </c>
      <c r="C2569" s="2">
        <v>5.9</v>
      </c>
      <c r="D2569" s="2">
        <v>2.77</v>
      </c>
      <c r="E2569" s="2">
        <v>0.09</v>
      </c>
      <c r="F2569" s="2">
        <v>50.0</v>
      </c>
      <c r="G2569" s="4">
        <v>44461.04886268519</v>
      </c>
      <c r="H2569" s="8">
        <v>44461.0</v>
      </c>
    </row>
    <row r="2570">
      <c r="A2570" s="2">
        <v>0.28</v>
      </c>
      <c r="B2570" s="2">
        <v>234.2</v>
      </c>
      <c r="C2570" s="2">
        <v>8.1</v>
      </c>
      <c r="D2570" s="2">
        <v>2.77</v>
      </c>
      <c r="E2570" s="2">
        <v>0.12</v>
      </c>
      <c r="F2570" s="2">
        <v>50.0</v>
      </c>
      <c r="G2570" s="4">
        <v>44461.048966145834</v>
      </c>
      <c r="H2570" s="8">
        <v>44461.0</v>
      </c>
    </row>
    <row r="2571">
      <c r="A2571" s="2">
        <v>0.28</v>
      </c>
      <c r="B2571" s="2">
        <v>234.3</v>
      </c>
      <c r="C2571" s="2">
        <v>6.7</v>
      </c>
      <c r="D2571" s="2">
        <v>2.77</v>
      </c>
      <c r="E2571" s="2">
        <v>0.1</v>
      </c>
      <c r="F2571" s="2">
        <v>50.0</v>
      </c>
      <c r="G2571" s="4">
        <v>44461.04906922454</v>
      </c>
      <c r="H2571" s="8">
        <v>44461.0</v>
      </c>
    </row>
    <row r="2572">
      <c r="A2572" s="2">
        <v>0.27</v>
      </c>
      <c r="B2572" s="2">
        <v>234.3</v>
      </c>
      <c r="C2572" s="2">
        <v>6.4</v>
      </c>
      <c r="D2572" s="2">
        <v>2.77</v>
      </c>
      <c r="E2572" s="2">
        <v>0.1</v>
      </c>
      <c r="F2572" s="2">
        <v>50.0</v>
      </c>
      <c r="G2572" s="4">
        <v>44461.049168935184</v>
      </c>
      <c r="H2572" s="8">
        <v>44461.0</v>
      </c>
    </row>
    <row r="2573">
      <c r="A2573" s="2">
        <v>0.28</v>
      </c>
      <c r="B2573" s="2">
        <v>234.3</v>
      </c>
      <c r="C2573" s="2">
        <v>7.0</v>
      </c>
      <c r="D2573" s="2">
        <v>2.77</v>
      </c>
      <c r="E2573" s="2">
        <v>0.11</v>
      </c>
      <c r="F2573" s="2">
        <v>50.0</v>
      </c>
      <c r="G2573" s="4">
        <v>44461.04927319444</v>
      </c>
      <c r="H2573" s="8">
        <v>44461.0</v>
      </c>
    </row>
    <row r="2574">
      <c r="A2574" s="2">
        <v>0.27</v>
      </c>
      <c r="B2574" s="2">
        <v>234.3</v>
      </c>
      <c r="C2574" s="2">
        <v>4.4</v>
      </c>
      <c r="D2574" s="2">
        <v>2.77</v>
      </c>
      <c r="E2574" s="2">
        <v>0.07</v>
      </c>
      <c r="F2574" s="2">
        <v>50.0</v>
      </c>
      <c r="G2574" s="4">
        <v>44461.04937789352</v>
      </c>
      <c r="H2574" s="8">
        <v>44461.0</v>
      </c>
    </row>
    <row r="2575">
      <c r="A2575" s="2">
        <v>0.29</v>
      </c>
      <c r="B2575" s="2">
        <v>234.3</v>
      </c>
      <c r="C2575" s="2">
        <v>9.3</v>
      </c>
      <c r="D2575" s="2">
        <v>2.77</v>
      </c>
      <c r="E2575" s="2">
        <v>0.14</v>
      </c>
      <c r="F2575" s="2">
        <v>50.0</v>
      </c>
      <c r="G2575" s="4">
        <v>44461.0494871875</v>
      </c>
      <c r="H2575" s="8">
        <v>44461.0</v>
      </c>
    </row>
    <row r="2576">
      <c r="A2576" s="2">
        <v>0.27</v>
      </c>
      <c r="B2576" s="2">
        <v>234.3</v>
      </c>
      <c r="C2576" s="2">
        <v>5.6</v>
      </c>
      <c r="D2576" s="2">
        <v>2.77</v>
      </c>
      <c r="E2576" s="2">
        <v>0.09</v>
      </c>
      <c r="F2576" s="2">
        <v>50.0</v>
      </c>
      <c r="G2576" s="4">
        <v>44461.04961145834</v>
      </c>
      <c r="H2576" s="8">
        <v>44461.0</v>
      </c>
    </row>
    <row r="2577">
      <c r="A2577" s="2">
        <v>0.27</v>
      </c>
      <c r="B2577" s="2">
        <v>234.3</v>
      </c>
      <c r="C2577" s="2">
        <v>5.7</v>
      </c>
      <c r="D2577" s="2">
        <v>2.77</v>
      </c>
      <c r="E2577" s="2">
        <v>0.09</v>
      </c>
      <c r="F2577" s="2">
        <v>50.0</v>
      </c>
      <c r="G2577" s="4">
        <v>44461.04972873842</v>
      </c>
      <c r="H2577" s="8">
        <v>44461.0</v>
      </c>
    </row>
    <row r="2578">
      <c r="A2578" s="2">
        <v>0.28</v>
      </c>
      <c r="B2578" s="2">
        <v>234.3</v>
      </c>
      <c r="C2578" s="2">
        <v>9.3</v>
      </c>
      <c r="D2578" s="2">
        <v>2.77</v>
      </c>
      <c r="E2578" s="2">
        <v>0.14</v>
      </c>
      <c r="F2578" s="2">
        <v>49.9</v>
      </c>
      <c r="G2578" s="4">
        <v>44461.04984673611</v>
      </c>
      <c r="H2578" s="8">
        <v>44461.0</v>
      </c>
    </row>
    <row r="2579">
      <c r="A2579" s="2">
        <v>0.29</v>
      </c>
      <c r="B2579" s="2">
        <v>234.3</v>
      </c>
      <c r="C2579" s="2">
        <v>9.9</v>
      </c>
      <c r="D2579" s="2">
        <v>2.77</v>
      </c>
      <c r="E2579" s="2">
        <v>0.14</v>
      </c>
      <c r="F2579" s="2">
        <v>49.9</v>
      </c>
      <c r="G2579" s="4">
        <v>44461.04996398148</v>
      </c>
      <c r="H2579" s="8">
        <v>44461.0</v>
      </c>
    </row>
    <row r="2580">
      <c r="A2580" s="2">
        <v>0.28</v>
      </c>
      <c r="B2580" s="2">
        <v>234.1</v>
      </c>
      <c r="C2580" s="2">
        <v>6.6</v>
      </c>
      <c r="D2580" s="2">
        <v>2.77</v>
      </c>
      <c r="E2580" s="2">
        <v>0.1</v>
      </c>
      <c r="F2580" s="2">
        <v>50.0</v>
      </c>
      <c r="G2580" s="4">
        <v>44461.05007358796</v>
      </c>
      <c r="H2580" s="8">
        <v>44461.0</v>
      </c>
    </row>
    <row r="2581">
      <c r="A2581" s="2">
        <v>0.27</v>
      </c>
      <c r="B2581" s="2">
        <v>233.4</v>
      </c>
      <c r="C2581" s="2">
        <v>5.9</v>
      </c>
      <c r="D2581" s="2">
        <v>2.77</v>
      </c>
      <c r="E2581" s="2">
        <v>0.09</v>
      </c>
      <c r="F2581" s="2">
        <v>50.0</v>
      </c>
      <c r="G2581" s="4">
        <v>44461.050180266204</v>
      </c>
      <c r="H2581" s="8">
        <v>44461.0</v>
      </c>
    </row>
    <row r="2582">
      <c r="A2582" s="2">
        <v>0.27</v>
      </c>
      <c r="B2582" s="2">
        <v>233.5</v>
      </c>
      <c r="C2582" s="2">
        <v>5.3</v>
      </c>
      <c r="D2582" s="2">
        <v>2.77</v>
      </c>
      <c r="E2582" s="2">
        <v>0.08</v>
      </c>
      <c r="F2582" s="2">
        <v>50.0</v>
      </c>
      <c r="G2582" s="4">
        <v>44461.050326111115</v>
      </c>
      <c r="H2582" s="8">
        <v>44461.0</v>
      </c>
    </row>
    <row r="2583">
      <c r="A2583" s="2">
        <v>0.3</v>
      </c>
      <c r="B2583" s="2">
        <v>233.6</v>
      </c>
      <c r="C2583" s="2">
        <v>12.5</v>
      </c>
      <c r="D2583" s="2">
        <v>2.77</v>
      </c>
      <c r="E2583" s="2">
        <v>0.18</v>
      </c>
      <c r="F2583" s="2">
        <v>50.0</v>
      </c>
      <c r="G2583" s="4">
        <v>44461.05043445602</v>
      </c>
      <c r="H2583" s="8">
        <v>44461.0</v>
      </c>
    </row>
    <row r="2584">
      <c r="A2584" s="2">
        <v>0.27</v>
      </c>
      <c r="B2584" s="2">
        <v>233.6</v>
      </c>
      <c r="C2584" s="2">
        <v>5.0</v>
      </c>
      <c r="D2584" s="2">
        <v>2.77</v>
      </c>
      <c r="E2584" s="2">
        <v>0.08</v>
      </c>
      <c r="F2584" s="2">
        <v>50.0</v>
      </c>
      <c r="G2584" s="4">
        <v>44461.05054329861</v>
      </c>
      <c r="H2584" s="8">
        <v>44461.0</v>
      </c>
    </row>
    <row r="2585">
      <c r="A2585" s="2">
        <v>0.27</v>
      </c>
      <c r="B2585" s="2">
        <v>233.7</v>
      </c>
      <c r="C2585" s="2">
        <v>5.4</v>
      </c>
      <c r="D2585" s="2">
        <v>2.77</v>
      </c>
      <c r="E2585" s="2">
        <v>0.09</v>
      </c>
      <c r="F2585" s="2">
        <v>50.0</v>
      </c>
      <c r="G2585" s="4">
        <v>44461.05065765046</v>
      </c>
      <c r="H2585" s="8">
        <v>44461.0</v>
      </c>
    </row>
    <row r="2586">
      <c r="A2586" s="2">
        <v>0.28</v>
      </c>
      <c r="B2586" s="2">
        <v>233.6</v>
      </c>
      <c r="C2586" s="2">
        <v>8.4</v>
      </c>
      <c r="D2586" s="2">
        <v>2.77</v>
      </c>
      <c r="E2586" s="2">
        <v>0.13</v>
      </c>
      <c r="F2586" s="2">
        <v>50.0</v>
      </c>
      <c r="G2586" s="4">
        <v>44461.05076828704</v>
      </c>
      <c r="H2586" s="8">
        <v>44461.0</v>
      </c>
    </row>
    <row r="2587">
      <c r="A2587" s="2">
        <v>0.28</v>
      </c>
      <c r="B2587" s="2">
        <v>233.6</v>
      </c>
      <c r="C2587" s="2">
        <v>6.3</v>
      </c>
      <c r="D2587" s="2">
        <v>2.77</v>
      </c>
      <c r="E2587" s="2">
        <v>0.1</v>
      </c>
      <c r="F2587" s="2">
        <v>50.0</v>
      </c>
      <c r="G2587" s="4">
        <v>44461.05087542824</v>
      </c>
      <c r="H2587" s="8">
        <v>44461.0</v>
      </c>
    </row>
    <row r="2588">
      <c r="A2588" s="2">
        <v>0.27</v>
      </c>
      <c r="B2588" s="2">
        <v>233.6</v>
      </c>
      <c r="C2588" s="2">
        <v>6.0</v>
      </c>
      <c r="D2588" s="2">
        <v>2.77</v>
      </c>
      <c r="E2588" s="2">
        <v>0.09</v>
      </c>
      <c r="F2588" s="2">
        <v>50.0</v>
      </c>
      <c r="G2588" s="4">
        <v>44461.050986250004</v>
      </c>
      <c r="H2588" s="8">
        <v>44461.0</v>
      </c>
    </row>
    <row r="2589">
      <c r="A2589" s="2">
        <v>0.28</v>
      </c>
      <c r="B2589" s="2">
        <v>233.6</v>
      </c>
      <c r="C2589" s="2">
        <v>8.6</v>
      </c>
      <c r="D2589" s="2">
        <v>2.77</v>
      </c>
      <c r="E2589" s="2">
        <v>0.13</v>
      </c>
      <c r="F2589" s="2">
        <v>50.0</v>
      </c>
      <c r="G2589" s="4">
        <v>44461.05110722222</v>
      </c>
      <c r="H2589" s="8">
        <v>44461.0</v>
      </c>
    </row>
    <row r="2590">
      <c r="A2590" s="2">
        <v>0.29</v>
      </c>
      <c r="B2590" s="2">
        <v>233.4</v>
      </c>
      <c r="C2590" s="2">
        <v>9.2</v>
      </c>
      <c r="D2590" s="2">
        <v>2.77</v>
      </c>
      <c r="E2590" s="2">
        <v>0.14</v>
      </c>
      <c r="F2590" s="2">
        <v>50.0</v>
      </c>
      <c r="G2590" s="4">
        <v>44461.0512118287</v>
      </c>
      <c r="H2590" s="8">
        <v>44461.0</v>
      </c>
    </row>
    <row r="2591">
      <c r="A2591" s="2">
        <v>0.27</v>
      </c>
      <c r="B2591" s="2">
        <v>233.4</v>
      </c>
      <c r="C2591" s="2">
        <v>5.1</v>
      </c>
      <c r="D2591" s="2">
        <v>2.77</v>
      </c>
      <c r="E2591" s="2">
        <v>0.08</v>
      </c>
      <c r="F2591" s="2">
        <v>50.0</v>
      </c>
      <c r="G2591" s="4">
        <v>44461.05131576389</v>
      </c>
      <c r="H2591" s="8">
        <v>44461.0</v>
      </c>
    </row>
    <row r="2592">
      <c r="A2592" s="2">
        <v>0.29</v>
      </c>
      <c r="B2592" s="2">
        <v>233.4</v>
      </c>
      <c r="C2592" s="2">
        <v>10.8</v>
      </c>
      <c r="D2592" s="2">
        <v>2.77</v>
      </c>
      <c r="E2592" s="2">
        <v>0.16</v>
      </c>
      <c r="F2592" s="2">
        <v>50.0</v>
      </c>
      <c r="G2592" s="4">
        <v>44461.051424502315</v>
      </c>
      <c r="H2592" s="8">
        <v>44461.0</v>
      </c>
    </row>
    <row r="2593">
      <c r="A2593" s="2">
        <v>0.27</v>
      </c>
      <c r="B2593" s="2">
        <v>233.3</v>
      </c>
      <c r="C2593" s="2">
        <v>5.9</v>
      </c>
      <c r="D2593" s="2">
        <v>2.77</v>
      </c>
      <c r="E2593" s="2">
        <v>0.09</v>
      </c>
      <c r="F2593" s="2">
        <v>50.0</v>
      </c>
      <c r="G2593" s="4">
        <v>44461.0515275463</v>
      </c>
      <c r="H2593" s="8">
        <v>44461.0</v>
      </c>
    </row>
    <row r="2594">
      <c r="A2594" s="2">
        <v>0.27</v>
      </c>
      <c r="B2594" s="2">
        <v>233.4</v>
      </c>
      <c r="C2594" s="2">
        <v>5.8</v>
      </c>
      <c r="D2594" s="2">
        <v>2.77</v>
      </c>
      <c r="E2594" s="2">
        <v>0.09</v>
      </c>
      <c r="F2594" s="2">
        <v>50.0</v>
      </c>
      <c r="G2594" s="4">
        <v>44461.051632939816</v>
      </c>
      <c r="H2594" s="8">
        <v>44461.0</v>
      </c>
    </row>
    <row r="2595">
      <c r="A2595" s="2">
        <v>0.28</v>
      </c>
      <c r="B2595" s="2">
        <v>233.3</v>
      </c>
      <c r="C2595" s="2">
        <v>7.4</v>
      </c>
      <c r="D2595" s="2">
        <v>2.77</v>
      </c>
      <c r="E2595" s="2">
        <v>0.11</v>
      </c>
      <c r="F2595" s="2">
        <v>50.0</v>
      </c>
      <c r="G2595" s="4">
        <v>44461.05174328704</v>
      </c>
      <c r="H2595" s="8">
        <v>44461.0</v>
      </c>
    </row>
    <row r="2596">
      <c r="A2596" s="2">
        <v>0.27</v>
      </c>
      <c r="B2596" s="2">
        <v>233.4</v>
      </c>
      <c r="C2596" s="2">
        <v>5.2</v>
      </c>
      <c r="D2596" s="2">
        <v>2.77</v>
      </c>
      <c r="E2596" s="2">
        <v>0.08</v>
      </c>
      <c r="F2596" s="2">
        <v>50.0</v>
      </c>
      <c r="G2596" s="4">
        <v>44461.05184918981</v>
      </c>
      <c r="H2596" s="8">
        <v>44461.0</v>
      </c>
    </row>
    <row r="2597">
      <c r="A2597" s="2">
        <v>0.27</v>
      </c>
      <c r="B2597" s="2">
        <v>233.4</v>
      </c>
      <c r="C2597" s="2">
        <v>4.5</v>
      </c>
      <c r="D2597" s="2">
        <v>2.77</v>
      </c>
      <c r="E2597" s="2">
        <v>0.07</v>
      </c>
      <c r="F2597" s="2">
        <v>50.0</v>
      </c>
      <c r="G2597" s="4">
        <v>44461.05196732639</v>
      </c>
      <c r="H2597" s="8">
        <v>44461.0</v>
      </c>
    </row>
    <row r="2598">
      <c r="A2598" s="2">
        <v>0.27</v>
      </c>
      <c r="B2598" s="2">
        <v>233.4</v>
      </c>
      <c r="C2598" s="2">
        <v>5.5</v>
      </c>
      <c r="D2598" s="2">
        <v>2.77</v>
      </c>
      <c r="E2598" s="2">
        <v>0.09</v>
      </c>
      <c r="F2598" s="2">
        <v>50.0</v>
      </c>
      <c r="G2598" s="4">
        <v>44461.05210033565</v>
      </c>
      <c r="H2598" s="8">
        <v>44461.0</v>
      </c>
    </row>
    <row r="2599">
      <c r="A2599" s="2">
        <v>0.29</v>
      </c>
      <c r="B2599" s="2">
        <v>233.6</v>
      </c>
      <c r="C2599" s="2">
        <v>10.2</v>
      </c>
      <c r="D2599" s="2">
        <v>2.77</v>
      </c>
      <c r="E2599" s="2">
        <v>0.15</v>
      </c>
      <c r="F2599" s="2">
        <v>50.0</v>
      </c>
      <c r="G2599" s="4">
        <v>44461.05221141204</v>
      </c>
      <c r="H2599" s="8">
        <v>44461.0</v>
      </c>
    </row>
    <row r="2600">
      <c r="A2600" s="2">
        <v>0.29</v>
      </c>
      <c r="B2600" s="2">
        <v>233.7</v>
      </c>
      <c r="C2600" s="2">
        <v>9.2</v>
      </c>
      <c r="D2600" s="2">
        <v>2.77</v>
      </c>
      <c r="E2600" s="2">
        <v>0.14</v>
      </c>
      <c r="F2600" s="2">
        <v>50.0</v>
      </c>
      <c r="G2600" s="4">
        <v>44461.052327048616</v>
      </c>
      <c r="H2600" s="8">
        <v>44461.0</v>
      </c>
    </row>
    <row r="2601">
      <c r="A2601" s="2">
        <v>0.27</v>
      </c>
      <c r="B2601" s="2">
        <v>233.8</v>
      </c>
      <c r="C2601" s="2">
        <v>5.6</v>
      </c>
      <c r="D2601" s="2">
        <v>2.77</v>
      </c>
      <c r="E2601" s="2">
        <v>0.09</v>
      </c>
      <c r="F2601" s="2">
        <v>50.0</v>
      </c>
      <c r="G2601" s="4">
        <v>44461.05243333333</v>
      </c>
      <c r="H2601" s="8">
        <v>44461.0</v>
      </c>
    </row>
    <row r="2602">
      <c r="A2602" s="2">
        <v>0.28</v>
      </c>
      <c r="B2602" s="2">
        <v>233.7</v>
      </c>
      <c r="C2602" s="2">
        <v>9.7</v>
      </c>
      <c r="D2602" s="2">
        <v>2.77</v>
      </c>
      <c r="E2602" s="2">
        <v>0.15</v>
      </c>
      <c r="F2602" s="2">
        <v>50.0</v>
      </c>
      <c r="G2602" s="4">
        <v>44461.052542708334</v>
      </c>
      <c r="H2602" s="8">
        <v>44461.0</v>
      </c>
    </row>
    <row r="2603">
      <c r="A2603" s="2">
        <v>0.27</v>
      </c>
      <c r="B2603" s="2">
        <v>233.7</v>
      </c>
      <c r="C2603" s="2">
        <v>5.6</v>
      </c>
      <c r="D2603" s="2">
        <v>2.77</v>
      </c>
      <c r="E2603" s="2">
        <v>0.09</v>
      </c>
      <c r="F2603" s="2">
        <v>50.0</v>
      </c>
      <c r="G2603" s="4">
        <v>44461.05265627315</v>
      </c>
      <c r="H2603" s="8">
        <v>44461.0</v>
      </c>
    </row>
    <row r="2604">
      <c r="A2604" s="2">
        <v>0.27</v>
      </c>
      <c r="B2604" s="2">
        <v>233.7</v>
      </c>
      <c r="C2604" s="2">
        <v>4.8</v>
      </c>
      <c r="D2604" s="2">
        <v>2.77</v>
      </c>
      <c r="E2604" s="2">
        <v>0.08</v>
      </c>
      <c r="F2604" s="2">
        <v>50.0</v>
      </c>
      <c r="G2604" s="4">
        <v>44461.052771006944</v>
      </c>
      <c r="H2604" s="8">
        <v>44461.0</v>
      </c>
    </row>
    <row r="2605">
      <c r="A2605" s="2">
        <v>0.27</v>
      </c>
      <c r="B2605" s="2">
        <v>233.7</v>
      </c>
      <c r="C2605" s="2">
        <v>4.8</v>
      </c>
      <c r="D2605" s="2">
        <v>2.77</v>
      </c>
      <c r="E2605" s="2">
        <v>0.08</v>
      </c>
      <c r="F2605" s="2">
        <v>50.0</v>
      </c>
      <c r="G2605" s="4">
        <v>44461.05288019676</v>
      </c>
      <c r="H2605" s="8">
        <v>44461.0</v>
      </c>
    </row>
    <row r="2606">
      <c r="A2606" s="2">
        <v>0.3</v>
      </c>
      <c r="B2606" s="2">
        <v>233.8</v>
      </c>
      <c r="C2606" s="2">
        <v>11.3</v>
      </c>
      <c r="D2606" s="2">
        <v>2.77</v>
      </c>
      <c r="E2606" s="2">
        <v>0.16</v>
      </c>
      <c r="F2606" s="2">
        <v>50.0</v>
      </c>
      <c r="G2606" s="4">
        <v>44461.05298390046</v>
      </c>
      <c r="H2606" s="8">
        <v>44461.0</v>
      </c>
    </row>
    <row r="2607">
      <c r="A2607" s="2">
        <v>0.27</v>
      </c>
      <c r="B2607" s="2">
        <v>233.7</v>
      </c>
      <c r="C2607" s="2">
        <v>5.0</v>
      </c>
      <c r="D2607" s="2">
        <v>2.77</v>
      </c>
      <c r="E2607" s="2">
        <v>0.08</v>
      </c>
      <c r="F2607" s="2">
        <v>50.0</v>
      </c>
      <c r="G2607" s="4">
        <v>44461.053086388885</v>
      </c>
      <c r="H2607" s="8">
        <v>44461.0</v>
      </c>
    </row>
    <row r="2608">
      <c r="A2608" s="2">
        <v>0.27</v>
      </c>
      <c r="B2608" s="2">
        <v>233.7</v>
      </c>
      <c r="C2608" s="2">
        <v>6.2</v>
      </c>
      <c r="D2608" s="2">
        <v>2.77</v>
      </c>
      <c r="E2608" s="2">
        <v>0.1</v>
      </c>
      <c r="F2608" s="2">
        <v>50.0</v>
      </c>
      <c r="G2608" s="4">
        <v>44461.05318271991</v>
      </c>
      <c r="H2608" s="8">
        <v>44461.0</v>
      </c>
    </row>
    <row r="2609">
      <c r="A2609" s="2">
        <v>0.29</v>
      </c>
      <c r="B2609" s="2">
        <v>233.6</v>
      </c>
      <c r="C2609" s="2">
        <v>8.0</v>
      </c>
      <c r="D2609" s="2">
        <v>2.77</v>
      </c>
      <c r="E2609" s="2">
        <v>0.12</v>
      </c>
      <c r="F2609" s="2">
        <v>50.0</v>
      </c>
      <c r="G2609" s="4">
        <v>44461.05328886574</v>
      </c>
      <c r="H2609" s="8">
        <v>44461.0</v>
      </c>
    </row>
    <row r="2610">
      <c r="A2610" s="2">
        <v>0.27</v>
      </c>
      <c r="B2610" s="2">
        <v>233.4</v>
      </c>
      <c r="C2610" s="2">
        <v>5.1</v>
      </c>
      <c r="D2610" s="2">
        <v>2.77</v>
      </c>
      <c r="E2610" s="2">
        <v>0.08</v>
      </c>
      <c r="F2610" s="2">
        <v>50.0</v>
      </c>
      <c r="G2610" s="4">
        <v>44461.05339366898</v>
      </c>
      <c r="H2610" s="8">
        <v>44461.0</v>
      </c>
    </row>
    <row r="2611">
      <c r="A2611" s="2">
        <v>0.3</v>
      </c>
      <c r="B2611" s="2">
        <v>233.4</v>
      </c>
      <c r="C2611" s="2">
        <v>11.5</v>
      </c>
      <c r="D2611" s="2">
        <v>2.77</v>
      </c>
      <c r="E2611" s="2">
        <v>0.17</v>
      </c>
      <c r="F2611" s="2">
        <v>50.0</v>
      </c>
      <c r="G2611" s="4">
        <v>44461.0534996875</v>
      </c>
      <c r="H2611" s="8">
        <v>44461.0</v>
      </c>
    </row>
    <row r="2612">
      <c r="A2612" s="2">
        <v>0.27</v>
      </c>
      <c r="B2612" s="2">
        <v>233.6</v>
      </c>
      <c r="C2612" s="2">
        <v>5.1</v>
      </c>
      <c r="D2612" s="2">
        <v>2.77</v>
      </c>
      <c r="E2612" s="2">
        <v>0.08</v>
      </c>
      <c r="F2612" s="2">
        <v>50.0</v>
      </c>
      <c r="G2612" s="4">
        <v>44461.05360734954</v>
      </c>
      <c r="H2612" s="8">
        <v>44461.0</v>
      </c>
    </row>
    <row r="2613">
      <c r="A2613" s="2">
        <v>0.27</v>
      </c>
      <c r="B2613" s="2">
        <v>233.6</v>
      </c>
      <c r="C2613" s="2">
        <v>5.7</v>
      </c>
      <c r="D2613" s="2">
        <v>2.77</v>
      </c>
      <c r="E2613" s="2">
        <v>0.09</v>
      </c>
      <c r="F2613" s="2">
        <v>49.9</v>
      </c>
      <c r="G2613" s="4">
        <v>44461.053712824076</v>
      </c>
      <c r="H2613" s="8">
        <v>44461.0</v>
      </c>
    </row>
    <row r="2614">
      <c r="A2614" s="2">
        <v>0.29</v>
      </c>
      <c r="B2614" s="2">
        <v>233.6</v>
      </c>
      <c r="C2614" s="2">
        <v>10.7</v>
      </c>
      <c r="D2614" s="2">
        <v>2.77</v>
      </c>
      <c r="E2614" s="2">
        <v>0.16</v>
      </c>
      <c r="F2614" s="2">
        <v>49.9</v>
      </c>
      <c r="G2614" s="4">
        <v>44461.05381783565</v>
      </c>
      <c r="H2614" s="8">
        <v>44461.0</v>
      </c>
    </row>
    <row r="2615">
      <c r="A2615" s="2">
        <v>0.27</v>
      </c>
      <c r="B2615" s="2">
        <v>233.4</v>
      </c>
      <c r="C2615" s="2">
        <v>5.2</v>
      </c>
      <c r="D2615" s="2">
        <v>2.77</v>
      </c>
      <c r="E2615" s="2">
        <v>0.08</v>
      </c>
      <c r="F2615" s="2">
        <v>49.9</v>
      </c>
      <c r="G2615" s="4">
        <v>44461.05392097222</v>
      </c>
      <c r="H2615" s="8">
        <v>44461.0</v>
      </c>
    </row>
    <row r="2616">
      <c r="A2616" s="2">
        <v>0.3</v>
      </c>
      <c r="B2616" s="2">
        <v>233.5</v>
      </c>
      <c r="C2616" s="2">
        <v>12.0</v>
      </c>
      <c r="D2616" s="2">
        <v>2.77</v>
      </c>
      <c r="E2616" s="2">
        <v>0.17</v>
      </c>
      <c r="F2616" s="2">
        <v>50.0</v>
      </c>
      <c r="G2616" s="4">
        <v>44461.054024756944</v>
      </c>
      <c r="H2616" s="8">
        <v>44461.0</v>
      </c>
    </row>
    <row r="2617">
      <c r="A2617" s="2">
        <v>0.27</v>
      </c>
      <c r="B2617" s="2">
        <v>233.5</v>
      </c>
      <c r="C2617" s="2">
        <v>5.5</v>
      </c>
      <c r="D2617" s="2">
        <v>2.77</v>
      </c>
      <c r="E2617" s="2">
        <v>0.09</v>
      </c>
      <c r="F2617" s="2">
        <v>49.9</v>
      </c>
      <c r="G2617" s="4">
        <v>44461.05412394676</v>
      </c>
      <c r="H2617" s="8">
        <v>44461.0</v>
      </c>
    </row>
    <row r="2618">
      <c r="A2618" s="2">
        <v>0.27</v>
      </c>
      <c r="B2618" s="2">
        <v>233.6</v>
      </c>
      <c r="C2618" s="2">
        <v>5.2</v>
      </c>
      <c r="D2618" s="2">
        <v>2.77</v>
      </c>
      <c r="E2618" s="2">
        <v>0.08</v>
      </c>
      <c r="F2618" s="2">
        <v>50.0</v>
      </c>
      <c r="G2618" s="4">
        <v>44461.05424039352</v>
      </c>
      <c r="H2618" s="8">
        <v>44461.0</v>
      </c>
    </row>
    <row r="2619">
      <c r="A2619" s="2">
        <v>0.29</v>
      </c>
      <c r="B2619" s="2">
        <v>233.7</v>
      </c>
      <c r="C2619" s="2">
        <v>11.5</v>
      </c>
      <c r="D2619" s="2">
        <v>2.77</v>
      </c>
      <c r="E2619" s="2">
        <v>0.17</v>
      </c>
      <c r="F2619" s="2">
        <v>50.0</v>
      </c>
      <c r="G2619" s="4">
        <v>44461.0543515625</v>
      </c>
      <c r="H2619" s="8">
        <v>44461.0</v>
      </c>
    </row>
    <row r="2620">
      <c r="A2620" s="2">
        <v>0.29</v>
      </c>
      <c r="B2620" s="2">
        <v>233.7</v>
      </c>
      <c r="C2620" s="2">
        <v>9.8</v>
      </c>
      <c r="D2620" s="2">
        <v>2.77</v>
      </c>
      <c r="E2620" s="2">
        <v>0.14</v>
      </c>
      <c r="F2620" s="2">
        <v>50.0</v>
      </c>
      <c r="G2620" s="4">
        <v>44461.054455509264</v>
      </c>
      <c r="H2620" s="8">
        <v>44461.0</v>
      </c>
    </row>
    <row r="2621">
      <c r="A2621" s="2">
        <v>0.27</v>
      </c>
      <c r="B2621" s="2">
        <v>233.8</v>
      </c>
      <c r="C2621" s="2">
        <v>5.5</v>
      </c>
      <c r="D2621" s="2">
        <v>2.77</v>
      </c>
      <c r="E2621" s="2">
        <v>0.09</v>
      </c>
      <c r="F2621" s="2">
        <v>50.0</v>
      </c>
      <c r="G2621" s="4">
        <v>44461.05456467593</v>
      </c>
      <c r="H2621" s="8">
        <v>44461.0</v>
      </c>
    </row>
    <row r="2622">
      <c r="A2622" s="2">
        <v>0.3</v>
      </c>
      <c r="B2622" s="2">
        <v>233.5</v>
      </c>
      <c r="C2622" s="2">
        <v>12.4</v>
      </c>
      <c r="D2622" s="2">
        <v>2.77</v>
      </c>
      <c r="E2622" s="2">
        <v>0.18</v>
      </c>
      <c r="F2622" s="2">
        <v>50.0</v>
      </c>
      <c r="G2622" s="4">
        <v>44461.054670717596</v>
      </c>
      <c r="H2622" s="8">
        <v>44461.0</v>
      </c>
    </row>
    <row r="2623">
      <c r="A2623" s="2">
        <v>0.28</v>
      </c>
      <c r="B2623" s="2">
        <v>233.6</v>
      </c>
      <c r="C2623" s="2">
        <v>5.9</v>
      </c>
      <c r="D2623" s="2">
        <v>2.77</v>
      </c>
      <c r="E2623" s="2">
        <v>0.09</v>
      </c>
      <c r="F2623" s="2">
        <v>50.0</v>
      </c>
      <c r="G2623" s="4">
        <v>44461.054772083335</v>
      </c>
      <c r="H2623" s="8">
        <v>44461.0</v>
      </c>
    </row>
    <row r="2624">
      <c r="A2624" s="2">
        <v>0.27</v>
      </c>
      <c r="B2624" s="2">
        <v>233.6</v>
      </c>
      <c r="C2624" s="2">
        <v>6.5</v>
      </c>
      <c r="D2624" s="2">
        <v>2.77</v>
      </c>
      <c r="E2624" s="2">
        <v>0.1</v>
      </c>
      <c r="F2624" s="2">
        <v>50.0</v>
      </c>
      <c r="G2624" s="4">
        <v>44461.054874560185</v>
      </c>
      <c r="H2624" s="8">
        <v>44461.0</v>
      </c>
    </row>
    <row r="2625">
      <c r="A2625" s="2">
        <v>0.29</v>
      </c>
      <c r="B2625" s="2">
        <v>233.5</v>
      </c>
      <c r="C2625" s="2">
        <v>8.6</v>
      </c>
      <c r="D2625" s="2">
        <v>2.77</v>
      </c>
      <c r="E2625" s="2">
        <v>0.13</v>
      </c>
      <c r="F2625" s="2">
        <v>50.0</v>
      </c>
      <c r="G2625" s="4">
        <v>44461.054979085646</v>
      </c>
      <c r="H2625" s="8">
        <v>44461.0</v>
      </c>
    </row>
    <row r="2626">
      <c r="A2626" s="2">
        <v>0.27</v>
      </c>
      <c r="B2626" s="2">
        <v>233.6</v>
      </c>
      <c r="C2626" s="2">
        <v>5.1</v>
      </c>
      <c r="D2626" s="2">
        <v>2.77</v>
      </c>
      <c r="E2626" s="2">
        <v>0.08</v>
      </c>
      <c r="F2626" s="2">
        <v>50.0</v>
      </c>
      <c r="G2626" s="4">
        <v>44461.05508586805</v>
      </c>
      <c r="H2626" s="8">
        <v>44461.0</v>
      </c>
    </row>
    <row r="2627">
      <c r="A2627" s="2">
        <v>0.27</v>
      </c>
      <c r="B2627" s="2">
        <v>233.5</v>
      </c>
      <c r="C2627" s="2">
        <v>6.1</v>
      </c>
      <c r="D2627" s="2">
        <v>2.77</v>
      </c>
      <c r="E2627" s="2">
        <v>0.1</v>
      </c>
      <c r="F2627" s="2">
        <v>50.0</v>
      </c>
      <c r="G2627" s="4">
        <v>44461.055199375</v>
      </c>
      <c r="H2627" s="8">
        <v>44461.0</v>
      </c>
    </row>
    <row r="2628">
      <c r="A2628" s="2">
        <v>0.28</v>
      </c>
      <c r="B2628" s="2">
        <v>233.4</v>
      </c>
      <c r="C2628" s="2">
        <v>6.9</v>
      </c>
      <c r="D2628" s="2">
        <v>2.77</v>
      </c>
      <c r="E2628" s="2">
        <v>0.11</v>
      </c>
      <c r="F2628" s="2">
        <v>49.9</v>
      </c>
      <c r="G2628" s="4">
        <v>44461.055308703704</v>
      </c>
      <c r="H2628" s="8">
        <v>44461.0</v>
      </c>
    </row>
    <row r="2629">
      <c r="A2629" s="2">
        <v>0.27</v>
      </c>
      <c r="B2629" s="2">
        <v>233.4</v>
      </c>
      <c r="C2629" s="2">
        <v>6.2</v>
      </c>
      <c r="D2629" s="2">
        <v>2.77</v>
      </c>
      <c r="E2629" s="2">
        <v>0.1</v>
      </c>
      <c r="F2629" s="2">
        <v>50.0</v>
      </c>
      <c r="G2629" s="4">
        <v>44461.055419826385</v>
      </c>
      <c r="H2629" s="8">
        <v>44461.0</v>
      </c>
    </row>
    <row r="2630">
      <c r="A2630" s="2">
        <v>0.28</v>
      </c>
      <c r="B2630" s="2">
        <v>233.5</v>
      </c>
      <c r="C2630" s="2">
        <v>9.5</v>
      </c>
      <c r="D2630" s="2">
        <v>2.77</v>
      </c>
      <c r="E2630" s="2">
        <v>0.14</v>
      </c>
      <c r="F2630" s="2">
        <v>49.9</v>
      </c>
      <c r="G2630" s="4">
        <v>44461.05552317129</v>
      </c>
      <c r="H2630" s="8">
        <v>44461.0</v>
      </c>
    </row>
    <row r="2631">
      <c r="A2631" s="2">
        <v>0.27</v>
      </c>
      <c r="B2631" s="2">
        <v>233.5</v>
      </c>
      <c r="C2631" s="2">
        <v>5.7</v>
      </c>
      <c r="D2631" s="2">
        <v>2.77</v>
      </c>
      <c r="E2631" s="2">
        <v>0.09</v>
      </c>
      <c r="F2631" s="2">
        <v>49.9</v>
      </c>
      <c r="G2631" s="4">
        <v>44461.055628194445</v>
      </c>
      <c r="H2631" s="8">
        <v>44461.0</v>
      </c>
    </row>
    <row r="2632">
      <c r="A2632" s="2">
        <v>0.27</v>
      </c>
      <c r="B2632" s="2">
        <v>233.3</v>
      </c>
      <c r="C2632" s="2">
        <v>4.7</v>
      </c>
      <c r="D2632" s="2">
        <v>2.77</v>
      </c>
      <c r="E2632" s="2">
        <v>0.08</v>
      </c>
      <c r="F2632" s="2">
        <v>49.9</v>
      </c>
      <c r="G2632" s="4">
        <v>44461.055737546296</v>
      </c>
      <c r="H2632" s="8">
        <v>44461.0</v>
      </c>
    </row>
    <row r="2633">
      <c r="A2633" s="2">
        <v>0.29</v>
      </c>
      <c r="B2633" s="2">
        <v>233.3</v>
      </c>
      <c r="C2633" s="2">
        <v>9.1</v>
      </c>
      <c r="D2633" s="2">
        <v>2.77</v>
      </c>
      <c r="E2633" s="2">
        <v>0.13</v>
      </c>
      <c r="F2633" s="2">
        <v>50.0</v>
      </c>
      <c r="G2633" s="4">
        <v>44461.05584756944</v>
      </c>
      <c r="H2633" s="8">
        <v>44461.0</v>
      </c>
    </row>
    <row r="2634">
      <c r="A2634" s="2">
        <v>0.27</v>
      </c>
      <c r="B2634" s="2">
        <v>233.4</v>
      </c>
      <c r="C2634" s="2">
        <v>5.8</v>
      </c>
      <c r="D2634" s="2">
        <v>2.77</v>
      </c>
      <c r="E2634" s="2">
        <v>0.09</v>
      </c>
      <c r="F2634" s="2">
        <v>50.0</v>
      </c>
      <c r="G2634" s="4">
        <v>44461.05595123842</v>
      </c>
      <c r="H2634" s="8">
        <v>44461.0</v>
      </c>
    </row>
    <row r="2635">
      <c r="A2635" s="2">
        <v>0.27</v>
      </c>
      <c r="B2635" s="2">
        <v>233.4</v>
      </c>
      <c r="C2635" s="2">
        <v>4.9</v>
      </c>
      <c r="D2635" s="2">
        <v>2.77</v>
      </c>
      <c r="E2635" s="2">
        <v>0.08</v>
      </c>
      <c r="F2635" s="2">
        <v>49.9</v>
      </c>
      <c r="G2635" s="4">
        <v>44461.0560565625</v>
      </c>
      <c r="H2635" s="8">
        <v>44461.0</v>
      </c>
    </row>
    <row r="2636">
      <c r="A2636" s="2">
        <v>0.3</v>
      </c>
      <c r="B2636" s="2">
        <v>233.4</v>
      </c>
      <c r="C2636" s="2">
        <v>10.6</v>
      </c>
      <c r="D2636" s="2">
        <v>2.77</v>
      </c>
      <c r="E2636" s="2">
        <v>0.15</v>
      </c>
      <c r="F2636" s="2">
        <v>50.0</v>
      </c>
      <c r="G2636" s="4">
        <v>44461.05616381945</v>
      </c>
      <c r="H2636" s="8">
        <v>44461.0</v>
      </c>
    </row>
    <row r="2637">
      <c r="A2637" s="2">
        <v>0.27</v>
      </c>
      <c r="B2637" s="2">
        <v>233.5</v>
      </c>
      <c r="C2637" s="2">
        <v>5.0</v>
      </c>
      <c r="D2637" s="2">
        <v>2.77</v>
      </c>
      <c r="E2637" s="2">
        <v>0.08</v>
      </c>
      <c r="F2637" s="2">
        <v>50.0</v>
      </c>
      <c r="G2637" s="4">
        <v>44461.056276145835</v>
      </c>
      <c r="H2637" s="8">
        <v>44461.0</v>
      </c>
    </row>
    <row r="2638">
      <c r="A2638" s="2">
        <v>0.27</v>
      </c>
      <c r="B2638" s="2">
        <v>233.6</v>
      </c>
      <c r="C2638" s="2">
        <v>4.4</v>
      </c>
      <c r="D2638" s="2">
        <v>2.77</v>
      </c>
      <c r="E2638" s="2">
        <v>0.07</v>
      </c>
      <c r="F2638" s="2">
        <v>50.0</v>
      </c>
      <c r="G2638" s="4">
        <v>44461.05638342592</v>
      </c>
      <c r="H2638" s="8">
        <v>44461.0</v>
      </c>
    </row>
    <row r="2639">
      <c r="A2639" s="2">
        <v>0.3</v>
      </c>
      <c r="B2639" s="2">
        <v>233.5</v>
      </c>
      <c r="C2639" s="2">
        <v>12.0</v>
      </c>
      <c r="D2639" s="2">
        <v>2.77</v>
      </c>
      <c r="E2639" s="2">
        <v>0.17</v>
      </c>
      <c r="F2639" s="2">
        <v>50.0</v>
      </c>
      <c r="G2639" s="4">
        <v>44461.056488125</v>
      </c>
      <c r="H2639" s="8">
        <v>44461.0</v>
      </c>
    </row>
    <row r="2640">
      <c r="A2640" s="2">
        <v>0.27</v>
      </c>
      <c r="B2640" s="2">
        <v>233.6</v>
      </c>
      <c r="C2640" s="2">
        <v>5.2</v>
      </c>
      <c r="D2640" s="2">
        <v>2.77</v>
      </c>
      <c r="E2640" s="2">
        <v>0.08</v>
      </c>
      <c r="F2640" s="2">
        <v>50.0</v>
      </c>
      <c r="G2640" s="4">
        <v>44461.056590312495</v>
      </c>
      <c r="H2640" s="8">
        <v>44461.0</v>
      </c>
    </row>
    <row r="2641">
      <c r="A2641" s="2">
        <v>0.27</v>
      </c>
      <c r="B2641" s="2">
        <v>233.6</v>
      </c>
      <c r="C2641" s="2">
        <v>5.6</v>
      </c>
      <c r="D2641" s="2">
        <v>2.77</v>
      </c>
      <c r="E2641" s="2">
        <v>0.09</v>
      </c>
      <c r="F2641" s="2">
        <v>50.0</v>
      </c>
      <c r="G2641" s="4">
        <v>44461.05672586805</v>
      </c>
      <c r="H2641" s="8">
        <v>44461.0</v>
      </c>
    </row>
    <row r="2642">
      <c r="A2642" s="2">
        <v>0.27</v>
      </c>
      <c r="B2642" s="2">
        <v>233.6</v>
      </c>
      <c r="C2642" s="2">
        <v>4.4</v>
      </c>
      <c r="D2642" s="2">
        <v>2.77</v>
      </c>
      <c r="E2642" s="2">
        <v>0.07</v>
      </c>
      <c r="F2642" s="2">
        <v>50.0</v>
      </c>
      <c r="G2642" s="4">
        <v>44461.056830347225</v>
      </c>
      <c r="H2642" s="8">
        <v>44461.0</v>
      </c>
    </row>
    <row r="2643">
      <c r="A2643" s="2">
        <v>0.29</v>
      </c>
      <c r="B2643" s="2">
        <v>233.6</v>
      </c>
      <c r="C2643" s="2">
        <v>8.8</v>
      </c>
      <c r="D2643" s="2">
        <v>2.77</v>
      </c>
      <c r="E2643" s="2">
        <v>0.13</v>
      </c>
      <c r="F2643" s="2">
        <v>50.0</v>
      </c>
      <c r="G2643" s="4">
        <v>44461.05693407408</v>
      </c>
      <c r="H2643" s="8">
        <v>44461.0</v>
      </c>
    </row>
    <row r="2644">
      <c r="A2644" s="2">
        <v>0.27</v>
      </c>
      <c r="B2644" s="2">
        <v>233.6</v>
      </c>
      <c r="C2644" s="2">
        <v>5.7</v>
      </c>
      <c r="D2644" s="2">
        <v>2.77</v>
      </c>
      <c r="E2644" s="2">
        <v>0.09</v>
      </c>
      <c r="F2644" s="2">
        <v>50.0</v>
      </c>
      <c r="G2644" s="4">
        <v>44461.05703993056</v>
      </c>
      <c r="H2644" s="8">
        <v>44461.0</v>
      </c>
    </row>
    <row r="2645">
      <c r="A2645" s="2">
        <v>0.3</v>
      </c>
      <c r="B2645" s="2">
        <v>233.5</v>
      </c>
      <c r="C2645" s="2">
        <v>11.8</v>
      </c>
      <c r="D2645" s="2">
        <v>2.77</v>
      </c>
      <c r="E2645" s="2">
        <v>0.17</v>
      </c>
      <c r="F2645" s="2">
        <v>50.0</v>
      </c>
      <c r="G2645" s="4">
        <v>44461.057141909725</v>
      </c>
      <c r="H2645" s="8">
        <v>44461.0</v>
      </c>
    </row>
    <row r="2646">
      <c r="A2646" s="2">
        <v>0.27</v>
      </c>
      <c r="B2646" s="2">
        <v>233.4</v>
      </c>
      <c r="C2646" s="2">
        <v>5.2</v>
      </c>
      <c r="D2646" s="2">
        <v>2.77</v>
      </c>
      <c r="E2646" s="2">
        <v>0.08</v>
      </c>
      <c r="F2646" s="2">
        <v>50.0</v>
      </c>
      <c r="G2646" s="4">
        <v>44461.057286145835</v>
      </c>
      <c r="H2646" s="8">
        <v>44461.0</v>
      </c>
    </row>
    <row r="2647">
      <c r="A2647" s="2">
        <v>0.29</v>
      </c>
      <c r="B2647" s="2">
        <v>233.1</v>
      </c>
      <c r="C2647" s="2">
        <v>9.9</v>
      </c>
      <c r="D2647" s="2">
        <v>2.77</v>
      </c>
      <c r="E2647" s="2">
        <v>0.14</v>
      </c>
      <c r="F2647" s="2">
        <v>49.9</v>
      </c>
      <c r="G2647" s="4">
        <v>44461.0573960301</v>
      </c>
      <c r="H2647" s="8">
        <v>44461.0</v>
      </c>
    </row>
    <row r="2648">
      <c r="A2648" s="2">
        <v>0.28</v>
      </c>
      <c r="B2648" s="2">
        <v>233.1</v>
      </c>
      <c r="C2648" s="2">
        <v>6.5</v>
      </c>
      <c r="D2648" s="2">
        <v>2.77</v>
      </c>
      <c r="E2648" s="2">
        <v>0.1</v>
      </c>
      <c r="F2648" s="2">
        <v>49.9</v>
      </c>
      <c r="G2648" s="4">
        <v>44461.05750689815</v>
      </c>
      <c r="H2648" s="8">
        <v>44461.0</v>
      </c>
    </row>
    <row r="2649">
      <c r="A2649" s="2">
        <v>0.28</v>
      </c>
      <c r="B2649" s="2">
        <v>233.1</v>
      </c>
      <c r="C2649" s="2">
        <v>8.2</v>
      </c>
      <c r="D2649" s="2">
        <v>2.77</v>
      </c>
      <c r="E2649" s="2">
        <v>0.13</v>
      </c>
      <c r="F2649" s="2">
        <v>49.9</v>
      </c>
      <c r="G2649" s="4">
        <v>44461.05761118056</v>
      </c>
      <c r="H2649" s="8">
        <v>44461.0</v>
      </c>
    </row>
    <row r="2650">
      <c r="A2650" s="2">
        <v>0.3</v>
      </c>
      <c r="B2650" s="2">
        <v>233.2</v>
      </c>
      <c r="C2650" s="2">
        <v>11.0</v>
      </c>
      <c r="D2650" s="2">
        <v>2.77</v>
      </c>
      <c r="E2650" s="2">
        <v>0.16</v>
      </c>
      <c r="F2650" s="2">
        <v>49.9</v>
      </c>
      <c r="G2650" s="4">
        <v>44461.05771837963</v>
      </c>
      <c r="H2650" s="8">
        <v>44461.0</v>
      </c>
    </row>
    <row r="2651">
      <c r="A2651" s="2">
        <v>0.28</v>
      </c>
      <c r="B2651" s="2">
        <v>233.0</v>
      </c>
      <c r="C2651" s="2">
        <v>6.9</v>
      </c>
      <c r="D2651" s="2">
        <v>2.77</v>
      </c>
      <c r="E2651" s="2">
        <v>0.11</v>
      </c>
      <c r="F2651" s="2">
        <v>50.0</v>
      </c>
      <c r="G2651" s="4">
        <v>44461.05782828704</v>
      </c>
      <c r="H2651" s="8">
        <v>44461.0</v>
      </c>
    </row>
    <row r="2652">
      <c r="A2652" s="2">
        <v>0.27</v>
      </c>
      <c r="B2652" s="2">
        <v>233.0</v>
      </c>
      <c r="C2652" s="2">
        <v>4.8</v>
      </c>
      <c r="D2652" s="2">
        <v>2.77</v>
      </c>
      <c r="E2652" s="2">
        <v>0.08</v>
      </c>
      <c r="F2652" s="2">
        <v>50.0</v>
      </c>
      <c r="G2652" s="4">
        <v>44461.05794263889</v>
      </c>
      <c r="H2652" s="8">
        <v>44461.0</v>
      </c>
    </row>
    <row r="2653">
      <c r="A2653" s="2">
        <v>0.29</v>
      </c>
      <c r="B2653" s="2">
        <v>233.0</v>
      </c>
      <c r="C2653" s="2">
        <v>9.8</v>
      </c>
      <c r="D2653" s="2">
        <v>2.77</v>
      </c>
      <c r="E2653" s="2">
        <v>0.14</v>
      </c>
      <c r="F2653" s="2">
        <v>50.0</v>
      </c>
      <c r="G2653" s="4">
        <v>44461.05805063657</v>
      </c>
      <c r="H2653" s="8">
        <v>44461.0</v>
      </c>
    </row>
    <row r="2654">
      <c r="A2654" s="2">
        <v>0.27</v>
      </c>
      <c r="B2654" s="2">
        <v>233.1</v>
      </c>
      <c r="C2654" s="2">
        <v>5.9</v>
      </c>
      <c r="D2654" s="2">
        <v>2.77</v>
      </c>
      <c r="E2654" s="2">
        <v>0.09</v>
      </c>
      <c r="F2654" s="2">
        <v>50.0</v>
      </c>
      <c r="G2654" s="4">
        <v>44461.058175185186</v>
      </c>
      <c r="H2654" s="8">
        <v>44461.0</v>
      </c>
    </row>
    <row r="2655">
      <c r="A2655" s="2">
        <v>0.27</v>
      </c>
      <c r="B2655" s="2">
        <v>233.2</v>
      </c>
      <c r="C2655" s="2">
        <v>5.6</v>
      </c>
      <c r="D2655" s="2">
        <v>2.77</v>
      </c>
      <c r="E2655" s="2">
        <v>0.09</v>
      </c>
      <c r="F2655" s="2">
        <v>50.0</v>
      </c>
      <c r="G2655" s="4">
        <v>44461.058276180556</v>
      </c>
      <c r="H2655" s="8">
        <v>44461.0</v>
      </c>
    </row>
    <row r="2656">
      <c r="A2656" s="2">
        <v>0.29</v>
      </c>
      <c r="B2656" s="2">
        <v>233.0</v>
      </c>
      <c r="C2656" s="2">
        <v>10.1</v>
      </c>
      <c r="D2656" s="2">
        <v>2.77</v>
      </c>
      <c r="E2656" s="2">
        <v>0.15</v>
      </c>
      <c r="F2656" s="2">
        <v>50.0</v>
      </c>
      <c r="G2656" s="4">
        <v>44461.05838350694</v>
      </c>
      <c r="H2656" s="8">
        <v>44461.0</v>
      </c>
    </row>
    <row r="2657">
      <c r="A2657" s="2">
        <v>0.28</v>
      </c>
      <c r="B2657" s="2">
        <v>233.1</v>
      </c>
      <c r="C2657" s="2">
        <v>6.5</v>
      </c>
      <c r="D2657" s="2">
        <v>2.77</v>
      </c>
      <c r="E2657" s="2">
        <v>0.1</v>
      </c>
      <c r="F2657" s="2">
        <v>50.0</v>
      </c>
      <c r="G2657" s="4">
        <v>44461.05848987268</v>
      </c>
      <c r="H2657" s="8">
        <v>44461.0</v>
      </c>
    </row>
    <row r="2658">
      <c r="A2658" s="2">
        <v>0.27</v>
      </c>
      <c r="B2658" s="2">
        <v>233.2</v>
      </c>
      <c r="C2658" s="2">
        <v>5.1</v>
      </c>
      <c r="D2658" s="2">
        <v>2.77</v>
      </c>
      <c r="E2658" s="2">
        <v>0.08</v>
      </c>
      <c r="F2658" s="2">
        <v>50.0</v>
      </c>
      <c r="G2658" s="4">
        <v>44461.05859100695</v>
      </c>
      <c r="H2658" s="8">
        <v>44461.0</v>
      </c>
    </row>
    <row r="2659">
      <c r="A2659" s="2">
        <v>0.29</v>
      </c>
      <c r="B2659" s="2">
        <v>233.2</v>
      </c>
      <c r="C2659" s="2">
        <v>10.0</v>
      </c>
      <c r="D2659" s="2">
        <v>2.77</v>
      </c>
      <c r="E2659" s="2">
        <v>0.15</v>
      </c>
      <c r="F2659" s="2">
        <v>50.0</v>
      </c>
      <c r="G2659" s="4">
        <v>44461.058696875</v>
      </c>
      <c r="H2659" s="8">
        <v>44461.0</v>
      </c>
    </row>
    <row r="2660">
      <c r="A2660" s="2">
        <v>0.27</v>
      </c>
      <c r="B2660" s="2">
        <v>233.2</v>
      </c>
      <c r="C2660" s="2">
        <v>5.6</v>
      </c>
      <c r="D2660" s="2">
        <v>2.77</v>
      </c>
      <c r="E2660" s="2">
        <v>0.09</v>
      </c>
      <c r="F2660" s="2">
        <v>50.0</v>
      </c>
      <c r="G2660" s="4">
        <v>44461.058801527775</v>
      </c>
      <c r="H2660" s="8">
        <v>44461.0</v>
      </c>
    </row>
    <row r="2661">
      <c r="A2661" s="2">
        <v>0.29</v>
      </c>
      <c r="B2661" s="2">
        <v>233.2</v>
      </c>
      <c r="C2661" s="2">
        <v>10.3</v>
      </c>
      <c r="D2661" s="2">
        <v>2.77</v>
      </c>
      <c r="E2661" s="2">
        <v>0.15</v>
      </c>
      <c r="F2661" s="2">
        <v>50.0</v>
      </c>
      <c r="G2661" s="4">
        <v>44461.058904791666</v>
      </c>
      <c r="H2661" s="8">
        <v>44461.0</v>
      </c>
    </row>
    <row r="2662">
      <c r="A2662" s="2">
        <v>0.27</v>
      </c>
      <c r="B2662" s="2">
        <v>233.1</v>
      </c>
      <c r="C2662" s="2">
        <v>6.4</v>
      </c>
      <c r="D2662" s="2">
        <v>2.77</v>
      </c>
      <c r="E2662" s="2">
        <v>0.1</v>
      </c>
      <c r="F2662" s="2">
        <v>50.0</v>
      </c>
      <c r="G2662" s="4">
        <v>44461.05904861111</v>
      </c>
      <c r="H2662" s="8">
        <v>44461.0</v>
      </c>
    </row>
    <row r="2663">
      <c r="A2663" s="2">
        <v>0.3</v>
      </c>
      <c r="B2663" s="2">
        <v>233.2</v>
      </c>
      <c r="C2663" s="2">
        <v>11.8</v>
      </c>
      <c r="D2663" s="2">
        <v>2.77</v>
      </c>
      <c r="E2663" s="2">
        <v>0.17</v>
      </c>
      <c r="F2663" s="2">
        <v>50.0</v>
      </c>
      <c r="G2663" s="4">
        <v>44461.059152222224</v>
      </c>
      <c r="H2663" s="8">
        <v>44461.0</v>
      </c>
    </row>
    <row r="2664">
      <c r="A2664" s="2">
        <v>0.27</v>
      </c>
      <c r="B2664" s="2">
        <v>233.3</v>
      </c>
      <c r="C2664" s="2">
        <v>5.7</v>
      </c>
      <c r="D2664" s="2">
        <v>2.77</v>
      </c>
      <c r="E2664" s="2">
        <v>0.09</v>
      </c>
      <c r="F2664" s="2">
        <v>50.0</v>
      </c>
      <c r="G2664" s="4">
        <v>44461.059256493056</v>
      </c>
      <c r="H2664" s="8">
        <v>44461.0</v>
      </c>
    </row>
    <row r="2665">
      <c r="A2665" s="2">
        <v>0.27</v>
      </c>
      <c r="B2665" s="2">
        <v>233.4</v>
      </c>
      <c r="C2665" s="2">
        <v>6.4</v>
      </c>
      <c r="D2665" s="2">
        <v>2.77</v>
      </c>
      <c r="E2665" s="2">
        <v>0.1</v>
      </c>
      <c r="F2665" s="2">
        <v>50.0</v>
      </c>
      <c r="G2665" s="4">
        <v>44461.05937238426</v>
      </c>
      <c r="H2665" s="8">
        <v>44461.0</v>
      </c>
    </row>
    <row r="2666">
      <c r="A2666" s="2">
        <v>0.3</v>
      </c>
      <c r="B2666" s="2">
        <v>233.5</v>
      </c>
      <c r="C2666" s="2">
        <v>12.5</v>
      </c>
      <c r="D2666" s="2">
        <v>2.77</v>
      </c>
      <c r="E2666" s="2">
        <v>0.18</v>
      </c>
      <c r="F2666" s="2">
        <v>50.0</v>
      </c>
      <c r="G2666" s="4">
        <v>44461.05948121528</v>
      </c>
      <c r="H2666" s="8">
        <v>44461.0</v>
      </c>
    </row>
    <row r="2667">
      <c r="A2667" s="2">
        <v>0.27</v>
      </c>
      <c r="B2667" s="2">
        <v>233.5</v>
      </c>
      <c r="C2667" s="2">
        <v>4.8</v>
      </c>
      <c r="D2667" s="2">
        <v>2.77</v>
      </c>
      <c r="E2667" s="2">
        <v>0.08</v>
      </c>
      <c r="F2667" s="2">
        <v>50.0</v>
      </c>
      <c r="G2667" s="4">
        <v>44461.059587615746</v>
      </c>
      <c r="H2667" s="8">
        <v>44461.0</v>
      </c>
    </row>
    <row r="2668">
      <c r="A2668" s="2">
        <v>0.27</v>
      </c>
      <c r="B2668" s="2">
        <v>233.5</v>
      </c>
      <c r="C2668" s="2">
        <v>7.1</v>
      </c>
      <c r="D2668" s="2">
        <v>2.77</v>
      </c>
      <c r="E2668" s="2">
        <v>0.11</v>
      </c>
      <c r="F2668" s="2">
        <v>50.0</v>
      </c>
      <c r="G2668" s="4">
        <v>44461.05969537037</v>
      </c>
      <c r="H2668" s="8">
        <v>44461.0</v>
      </c>
    </row>
    <row r="2669">
      <c r="A2669" s="2">
        <v>0.28</v>
      </c>
      <c r="B2669" s="2">
        <v>233.5</v>
      </c>
      <c r="C2669" s="2">
        <v>7.1</v>
      </c>
      <c r="D2669" s="2">
        <v>2.77</v>
      </c>
      <c r="E2669" s="2">
        <v>0.11</v>
      </c>
      <c r="F2669" s="2">
        <v>50.0</v>
      </c>
      <c r="G2669" s="4">
        <v>44461.059801192125</v>
      </c>
      <c r="H2669" s="8">
        <v>44461.0</v>
      </c>
    </row>
    <row r="2670">
      <c r="A2670" s="2">
        <v>0.27</v>
      </c>
      <c r="B2670" s="2">
        <v>233.4</v>
      </c>
      <c r="C2670" s="2">
        <v>5.9</v>
      </c>
      <c r="D2670" s="2">
        <v>2.77</v>
      </c>
      <c r="E2670" s="2">
        <v>0.09</v>
      </c>
      <c r="F2670" s="2">
        <v>50.0</v>
      </c>
      <c r="G2670" s="4">
        <v>44461.05990689815</v>
      </c>
      <c r="H2670" s="8">
        <v>44461.0</v>
      </c>
    </row>
    <row r="2671">
      <c r="A2671" s="2">
        <v>0.3</v>
      </c>
      <c r="B2671" s="2">
        <v>233.2</v>
      </c>
      <c r="C2671" s="2">
        <v>11.9</v>
      </c>
      <c r="D2671" s="2">
        <v>2.77</v>
      </c>
      <c r="E2671" s="2">
        <v>0.17</v>
      </c>
      <c r="F2671" s="2">
        <v>49.9</v>
      </c>
      <c r="G2671" s="4">
        <v>44461.06000815972</v>
      </c>
      <c r="H2671" s="8">
        <v>44461.0</v>
      </c>
    </row>
    <row r="2672">
      <c r="A2672" s="2">
        <v>0.27</v>
      </c>
      <c r="B2672" s="2">
        <v>233.4</v>
      </c>
      <c r="C2672" s="2">
        <v>5.4</v>
      </c>
      <c r="D2672" s="2">
        <v>2.77</v>
      </c>
      <c r="E2672" s="2">
        <v>0.09</v>
      </c>
      <c r="F2672" s="2">
        <v>49.9</v>
      </c>
      <c r="G2672" s="4">
        <v>44461.06011116898</v>
      </c>
      <c r="H2672" s="8">
        <v>44461.0</v>
      </c>
    </row>
    <row r="2673">
      <c r="A2673" s="2">
        <v>0.28</v>
      </c>
      <c r="B2673" s="2">
        <v>233.3</v>
      </c>
      <c r="C2673" s="2">
        <v>8.9</v>
      </c>
      <c r="D2673" s="2">
        <v>2.77</v>
      </c>
      <c r="E2673" s="2">
        <v>0.14</v>
      </c>
      <c r="F2673" s="2">
        <v>50.0</v>
      </c>
      <c r="G2673" s="4">
        <v>44461.060217962964</v>
      </c>
      <c r="H2673" s="8">
        <v>44461.0</v>
      </c>
    </row>
    <row r="2674">
      <c r="A2674" s="2">
        <v>0.3</v>
      </c>
      <c r="B2674" s="2">
        <v>233.3</v>
      </c>
      <c r="C2674" s="2">
        <v>11.2</v>
      </c>
      <c r="D2674" s="2">
        <v>2.77</v>
      </c>
      <c r="E2674" s="2">
        <v>0.16</v>
      </c>
      <c r="F2674" s="2">
        <v>49.9</v>
      </c>
      <c r="G2674" s="4">
        <v>44461.06033471065</v>
      </c>
      <c r="H2674" s="8">
        <v>44461.0</v>
      </c>
    </row>
    <row r="2675">
      <c r="A2675" s="2">
        <v>0.28</v>
      </c>
      <c r="B2675" s="2">
        <v>233.4</v>
      </c>
      <c r="C2675" s="2">
        <v>6.4</v>
      </c>
      <c r="D2675" s="2">
        <v>2.77</v>
      </c>
      <c r="E2675" s="2">
        <v>0.1</v>
      </c>
      <c r="F2675" s="2">
        <v>50.0</v>
      </c>
      <c r="G2675" s="4">
        <v>44461.060442766204</v>
      </c>
      <c r="H2675" s="8">
        <v>44461.0</v>
      </c>
    </row>
    <row r="2676">
      <c r="A2676" s="2">
        <v>0.27</v>
      </c>
      <c r="B2676" s="2">
        <v>233.5</v>
      </c>
      <c r="C2676" s="2">
        <v>5.6</v>
      </c>
      <c r="D2676" s="2">
        <v>2.77</v>
      </c>
      <c r="E2676" s="2">
        <v>0.09</v>
      </c>
      <c r="F2676" s="2">
        <v>50.0</v>
      </c>
      <c r="G2676" s="4">
        <v>44461.0605571412</v>
      </c>
      <c r="H2676" s="8">
        <v>44461.0</v>
      </c>
    </row>
    <row r="2677">
      <c r="A2677" s="2">
        <v>0.27</v>
      </c>
      <c r="B2677" s="2">
        <v>233.6</v>
      </c>
      <c r="C2677" s="2">
        <v>4.6</v>
      </c>
      <c r="D2677" s="2">
        <v>2.77</v>
      </c>
      <c r="E2677" s="2">
        <v>0.07</v>
      </c>
      <c r="F2677" s="2">
        <v>50.0</v>
      </c>
      <c r="G2677" s="4">
        <v>44461.06067898148</v>
      </c>
      <c r="H2677" s="8">
        <v>44461.0</v>
      </c>
    </row>
    <row r="2678">
      <c r="A2678" s="2">
        <v>0.3</v>
      </c>
      <c r="B2678" s="2">
        <v>233.7</v>
      </c>
      <c r="C2678" s="2">
        <v>11.7</v>
      </c>
      <c r="D2678" s="2">
        <v>2.77</v>
      </c>
      <c r="E2678" s="2">
        <v>0.17</v>
      </c>
      <c r="F2678" s="2">
        <v>50.0</v>
      </c>
      <c r="G2678" s="4">
        <v>44461.06078378472</v>
      </c>
      <c r="H2678" s="8">
        <v>44461.0</v>
      </c>
    </row>
    <row r="2679">
      <c r="A2679" s="2">
        <v>0.27</v>
      </c>
      <c r="B2679" s="2">
        <v>233.8</v>
      </c>
      <c r="C2679" s="2">
        <v>5.0</v>
      </c>
      <c r="D2679" s="2">
        <v>2.77</v>
      </c>
      <c r="E2679" s="2">
        <v>0.08</v>
      </c>
      <c r="F2679" s="2">
        <v>50.0</v>
      </c>
      <c r="G2679" s="4">
        <v>44461.06088793981</v>
      </c>
      <c r="H2679" s="8">
        <v>44461.0</v>
      </c>
    </row>
    <row r="2680">
      <c r="A2680" s="2">
        <v>0.27</v>
      </c>
      <c r="B2680" s="2">
        <v>233.8</v>
      </c>
      <c r="C2680" s="2">
        <v>5.2</v>
      </c>
      <c r="D2680" s="2">
        <v>2.77</v>
      </c>
      <c r="E2680" s="2">
        <v>0.08</v>
      </c>
      <c r="F2680" s="2">
        <v>50.0</v>
      </c>
      <c r="G2680" s="4">
        <v>44461.06098729167</v>
      </c>
      <c r="H2680" s="8">
        <v>44461.0</v>
      </c>
    </row>
    <row r="2681">
      <c r="A2681" s="2">
        <v>0.3</v>
      </c>
      <c r="B2681" s="2">
        <v>234.7</v>
      </c>
      <c r="C2681" s="2">
        <v>10.5</v>
      </c>
      <c r="D2681" s="2">
        <v>2.77</v>
      </c>
      <c r="E2681" s="2">
        <v>0.15</v>
      </c>
      <c r="F2681" s="2">
        <v>50.0</v>
      </c>
      <c r="G2681" s="4">
        <v>44461.06109333334</v>
      </c>
      <c r="H2681" s="8">
        <v>44461.0</v>
      </c>
    </row>
    <row r="2682">
      <c r="A2682" s="2">
        <v>0.27</v>
      </c>
      <c r="B2682" s="2">
        <v>234.8</v>
      </c>
      <c r="C2682" s="2">
        <v>5.7</v>
      </c>
      <c r="D2682" s="2">
        <v>2.77</v>
      </c>
      <c r="E2682" s="2">
        <v>0.09</v>
      </c>
      <c r="F2682" s="2">
        <v>50.0</v>
      </c>
      <c r="G2682" s="4">
        <v>44461.061201041666</v>
      </c>
      <c r="H2682" s="8">
        <v>44461.0</v>
      </c>
    </row>
    <row r="2683">
      <c r="A2683" s="2">
        <v>0.29</v>
      </c>
      <c r="B2683" s="2">
        <v>234.8</v>
      </c>
      <c r="C2683" s="2">
        <v>10.0</v>
      </c>
      <c r="D2683" s="2">
        <v>2.77</v>
      </c>
      <c r="E2683" s="2">
        <v>0.15</v>
      </c>
      <c r="F2683" s="2">
        <v>50.0</v>
      </c>
      <c r="G2683" s="4">
        <v>44461.06130943287</v>
      </c>
      <c r="H2683" s="8">
        <v>44461.0</v>
      </c>
    </row>
    <row r="2684">
      <c r="A2684" s="2">
        <v>0.27</v>
      </c>
      <c r="B2684" s="2">
        <v>234.8</v>
      </c>
      <c r="C2684" s="2">
        <v>5.4</v>
      </c>
      <c r="D2684" s="2">
        <v>2.77</v>
      </c>
      <c r="E2684" s="2">
        <v>0.08</v>
      </c>
      <c r="F2684" s="2">
        <v>50.0</v>
      </c>
      <c r="G2684" s="4">
        <v>44461.0614105787</v>
      </c>
      <c r="H2684" s="8">
        <v>44461.0</v>
      </c>
    </row>
    <row r="2685">
      <c r="A2685" s="2">
        <v>0.27</v>
      </c>
      <c r="B2685" s="2">
        <v>234.7</v>
      </c>
      <c r="C2685" s="2">
        <v>5.9</v>
      </c>
      <c r="D2685" s="2">
        <v>2.77</v>
      </c>
      <c r="E2685" s="2">
        <v>0.09</v>
      </c>
      <c r="F2685" s="2">
        <v>50.0</v>
      </c>
      <c r="G2685" s="4">
        <v>44461.06151234954</v>
      </c>
      <c r="H2685" s="8">
        <v>44461.0</v>
      </c>
    </row>
    <row r="2686">
      <c r="A2686" s="2">
        <v>0.29</v>
      </c>
      <c r="B2686" s="2">
        <v>234.6</v>
      </c>
      <c r="C2686" s="2">
        <v>9.2</v>
      </c>
      <c r="D2686" s="2">
        <v>2.77</v>
      </c>
      <c r="E2686" s="2">
        <v>0.13</v>
      </c>
      <c r="F2686" s="2">
        <v>50.0</v>
      </c>
      <c r="G2686" s="4">
        <v>44461.06162453703</v>
      </c>
      <c r="H2686" s="8">
        <v>44461.0</v>
      </c>
    </row>
    <row r="2687">
      <c r="A2687" s="2">
        <v>0.3</v>
      </c>
      <c r="B2687" s="2">
        <v>234.6</v>
      </c>
      <c r="C2687" s="2">
        <v>11.1</v>
      </c>
      <c r="D2687" s="2">
        <v>2.77</v>
      </c>
      <c r="E2687" s="2">
        <v>0.16</v>
      </c>
      <c r="F2687" s="2">
        <v>50.0</v>
      </c>
      <c r="G2687" s="4">
        <v>44461.061746481486</v>
      </c>
      <c r="H2687" s="8">
        <v>44461.0</v>
      </c>
    </row>
    <row r="2688">
      <c r="A2688" s="2">
        <v>0.27</v>
      </c>
      <c r="B2688" s="2">
        <v>234.6</v>
      </c>
      <c r="C2688" s="2">
        <v>5.9</v>
      </c>
      <c r="D2688" s="2">
        <v>2.77</v>
      </c>
      <c r="E2688" s="2">
        <v>0.09</v>
      </c>
      <c r="F2688" s="2">
        <v>50.0</v>
      </c>
      <c r="G2688" s="4">
        <v>44461.06185197917</v>
      </c>
      <c r="H2688" s="8">
        <v>44461.0</v>
      </c>
    </row>
    <row r="2689">
      <c r="A2689" s="2">
        <v>0.28</v>
      </c>
      <c r="B2689" s="2">
        <v>234.8</v>
      </c>
      <c r="C2689" s="2">
        <v>8.9</v>
      </c>
      <c r="D2689" s="2">
        <v>2.77</v>
      </c>
      <c r="E2689" s="2">
        <v>0.13</v>
      </c>
      <c r="F2689" s="2">
        <v>50.0</v>
      </c>
      <c r="G2689" s="4">
        <v>44461.0619584375</v>
      </c>
      <c r="H2689" s="8">
        <v>44461.0</v>
      </c>
    </row>
    <row r="2690">
      <c r="A2690" s="2">
        <v>0.28</v>
      </c>
      <c r="B2690" s="2">
        <v>234.9</v>
      </c>
      <c r="C2690" s="2">
        <v>7.2</v>
      </c>
      <c r="D2690" s="2">
        <v>2.77</v>
      </c>
      <c r="E2690" s="2">
        <v>0.11</v>
      </c>
      <c r="F2690" s="2">
        <v>50.0</v>
      </c>
      <c r="G2690" s="4">
        <v>44461.06207369213</v>
      </c>
      <c r="H2690" s="8">
        <v>44461.0</v>
      </c>
    </row>
    <row r="2691">
      <c r="A2691" s="2">
        <v>0.27</v>
      </c>
      <c r="B2691" s="2">
        <v>235.0</v>
      </c>
      <c r="C2691" s="2">
        <v>4.7</v>
      </c>
      <c r="D2691" s="2">
        <v>2.77</v>
      </c>
      <c r="E2691" s="2">
        <v>0.07</v>
      </c>
      <c r="F2691" s="2">
        <v>50.0</v>
      </c>
      <c r="G2691" s="4">
        <v>44461.06218152778</v>
      </c>
      <c r="H2691" s="8">
        <v>44461.0</v>
      </c>
    </row>
    <row r="2692">
      <c r="A2692" s="2">
        <v>0.28</v>
      </c>
      <c r="B2692" s="2">
        <v>234.8</v>
      </c>
      <c r="C2692" s="2">
        <v>8.8</v>
      </c>
      <c r="D2692" s="2">
        <v>2.77</v>
      </c>
      <c r="E2692" s="2">
        <v>0.13</v>
      </c>
      <c r="F2692" s="2">
        <v>50.0</v>
      </c>
      <c r="G2692" s="4">
        <v>44461.06228430556</v>
      </c>
      <c r="H2692" s="8">
        <v>44461.0</v>
      </c>
    </row>
    <row r="2693">
      <c r="A2693" s="2">
        <v>0.28</v>
      </c>
      <c r="B2693" s="2">
        <v>234.7</v>
      </c>
      <c r="C2693" s="2">
        <v>7.5</v>
      </c>
      <c r="D2693" s="2">
        <v>2.77</v>
      </c>
      <c r="E2693" s="2">
        <v>0.11</v>
      </c>
      <c r="F2693" s="2">
        <v>50.0</v>
      </c>
      <c r="G2693" s="4">
        <v>44461.0623941088</v>
      </c>
      <c r="H2693" s="8">
        <v>44461.0</v>
      </c>
    </row>
    <row r="2694">
      <c r="A2694" s="2">
        <v>0.27</v>
      </c>
      <c r="B2694" s="2">
        <v>234.7</v>
      </c>
      <c r="C2694" s="2">
        <v>5.7</v>
      </c>
      <c r="D2694" s="2">
        <v>2.77</v>
      </c>
      <c r="E2694" s="2">
        <v>0.09</v>
      </c>
      <c r="F2694" s="2">
        <v>50.0</v>
      </c>
      <c r="G2694" s="4">
        <v>44461.062497453706</v>
      </c>
      <c r="H2694" s="8">
        <v>44461.0</v>
      </c>
    </row>
    <row r="2695">
      <c r="A2695" s="2">
        <v>0.3</v>
      </c>
      <c r="B2695" s="2">
        <v>234.7</v>
      </c>
      <c r="C2695" s="2">
        <v>12.3</v>
      </c>
      <c r="D2695" s="2">
        <v>2.77</v>
      </c>
      <c r="E2695" s="2">
        <v>0.17</v>
      </c>
      <c r="F2695" s="2">
        <v>50.0</v>
      </c>
      <c r="G2695" s="4">
        <v>44461.06260171296</v>
      </c>
      <c r="H2695" s="8">
        <v>44461.0</v>
      </c>
    </row>
    <row r="2696">
      <c r="A2696" s="2">
        <v>0.27</v>
      </c>
      <c r="B2696" s="2">
        <v>234.7</v>
      </c>
      <c r="C2696" s="2">
        <v>5.4</v>
      </c>
      <c r="D2696" s="2">
        <v>2.77</v>
      </c>
      <c r="E2696" s="2">
        <v>0.08</v>
      </c>
      <c r="F2696" s="2">
        <v>50.0</v>
      </c>
      <c r="G2696" s="4">
        <v>44461.062707881945</v>
      </c>
      <c r="H2696" s="8">
        <v>44461.0</v>
      </c>
    </row>
    <row r="2697">
      <c r="A2697" s="2">
        <v>0.27</v>
      </c>
      <c r="B2697" s="2">
        <v>234.7</v>
      </c>
      <c r="C2697" s="2">
        <v>5.7</v>
      </c>
      <c r="D2697" s="2">
        <v>2.77</v>
      </c>
      <c r="E2697" s="2">
        <v>0.09</v>
      </c>
      <c r="F2697" s="2">
        <v>50.0</v>
      </c>
      <c r="G2697" s="4">
        <v>44461.06282009259</v>
      </c>
      <c r="H2697" s="8">
        <v>44461.0</v>
      </c>
    </row>
    <row r="2698">
      <c r="A2698" s="2">
        <v>0.29</v>
      </c>
      <c r="B2698" s="2">
        <v>234.7</v>
      </c>
      <c r="C2698" s="2">
        <v>10.3</v>
      </c>
      <c r="D2698" s="2">
        <v>2.77</v>
      </c>
      <c r="E2698" s="2">
        <v>0.15</v>
      </c>
      <c r="F2698" s="2">
        <v>50.0</v>
      </c>
      <c r="G2698" s="4">
        <v>44461.062936145834</v>
      </c>
      <c r="H2698" s="8">
        <v>44461.0</v>
      </c>
    </row>
    <row r="2699">
      <c r="A2699" s="2">
        <v>0.29</v>
      </c>
      <c r="B2699" s="2">
        <v>234.7</v>
      </c>
      <c r="C2699" s="2">
        <v>9.5</v>
      </c>
      <c r="D2699" s="2">
        <v>2.77</v>
      </c>
      <c r="E2699" s="2">
        <v>0.14</v>
      </c>
      <c r="F2699" s="2">
        <v>50.0</v>
      </c>
      <c r="G2699" s="4">
        <v>44461.063042615744</v>
      </c>
      <c r="H2699" s="8">
        <v>44461.0</v>
      </c>
    </row>
    <row r="2700">
      <c r="A2700" s="2">
        <v>0.27</v>
      </c>
      <c r="B2700" s="2">
        <v>234.7</v>
      </c>
      <c r="C2700" s="2">
        <v>6.0</v>
      </c>
      <c r="D2700" s="2">
        <v>2.77</v>
      </c>
      <c r="E2700" s="2">
        <v>0.09</v>
      </c>
      <c r="F2700" s="2">
        <v>50.0</v>
      </c>
      <c r="G2700" s="4">
        <v>44461.063152187504</v>
      </c>
      <c r="H2700" s="8">
        <v>44461.0</v>
      </c>
    </row>
    <row r="2701">
      <c r="A2701" s="2">
        <v>0.29</v>
      </c>
      <c r="B2701" s="2">
        <v>234.7</v>
      </c>
      <c r="C2701" s="2">
        <v>9.8</v>
      </c>
      <c r="D2701" s="2">
        <v>2.77</v>
      </c>
      <c r="E2701" s="2">
        <v>0.15</v>
      </c>
      <c r="F2701" s="2">
        <v>49.9</v>
      </c>
      <c r="G2701" s="4">
        <v>44461.063258298615</v>
      </c>
      <c r="H2701" s="8">
        <v>44461.0</v>
      </c>
    </row>
    <row r="2702">
      <c r="A2702" s="2">
        <v>0.3</v>
      </c>
      <c r="B2702" s="2">
        <v>234.7</v>
      </c>
      <c r="C2702" s="2">
        <v>10.8</v>
      </c>
      <c r="D2702" s="2">
        <v>2.77</v>
      </c>
      <c r="E2702" s="2">
        <v>0.15</v>
      </c>
      <c r="F2702" s="2">
        <v>50.0</v>
      </c>
      <c r="G2702" s="4">
        <v>44461.06336598379</v>
      </c>
      <c r="H2702" s="8">
        <v>44461.0</v>
      </c>
    </row>
    <row r="2703">
      <c r="A2703" s="2">
        <v>0.27</v>
      </c>
      <c r="B2703" s="2">
        <v>234.8</v>
      </c>
      <c r="C2703" s="2">
        <v>4.9</v>
      </c>
      <c r="D2703" s="2">
        <v>2.77</v>
      </c>
      <c r="E2703" s="2">
        <v>0.08</v>
      </c>
      <c r="F2703" s="2">
        <v>50.0</v>
      </c>
      <c r="G2703" s="4">
        <v>44461.06347172454</v>
      </c>
      <c r="H2703" s="8">
        <v>44461.0</v>
      </c>
    </row>
    <row r="2704">
      <c r="A2704" s="2">
        <v>0.28</v>
      </c>
      <c r="B2704" s="2">
        <v>234.6</v>
      </c>
      <c r="C2704" s="2">
        <v>8.1</v>
      </c>
      <c r="D2704" s="2">
        <v>2.77</v>
      </c>
      <c r="E2704" s="2">
        <v>0.12</v>
      </c>
      <c r="F2704" s="2">
        <v>50.0</v>
      </c>
      <c r="G2704" s="4">
        <v>44461.06358</v>
      </c>
      <c r="H2704" s="8">
        <v>44461.0</v>
      </c>
    </row>
    <row r="2705">
      <c r="A2705" s="2">
        <v>0.29</v>
      </c>
      <c r="B2705" s="2">
        <v>234.7</v>
      </c>
      <c r="C2705" s="2">
        <v>10.9</v>
      </c>
      <c r="D2705" s="2">
        <v>2.77</v>
      </c>
      <c r="E2705" s="2">
        <v>0.16</v>
      </c>
      <c r="F2705" s="2">
        <v>49.9</v>
      </c>
      <c r="G2705" s="4">
        <v>44461.06368979167</v>
      </c>
      <c r="H2705" s="8">
        <v>44461.0</v>
      </c>
    </row>
    <row r="2706">
      <c r="A2706" s="2">
        <v>0.27</v>
      </c>
      <c r="B2706" s="2">
        <v>234.6</v>
      </c>
      <c r="C2706" s="2">
        <v>5.5</v>
      </c>
      <c r="D2706" s="2">
        <v>2.77</v>
      </c>
      <c r="E2706" s="2">
        <v>0.09</v>
      </c>
      <c r="F2706" s="2">
        <v>50.0</v>
      </c>
      <c r="G2706" s="4">
        <v>44461.06379855324</v>
      </c>
      <c r="H2706" s="8">
        <v>44461.0</v>
      </c>
    </row>
    <row r="2707">
      <c r="A2707" s="2">
        <v>0.28</v>
      </c>
      <c r="B2707" s="2">
        <v>234.6</v>
      </c>
      <c r="C2707" s="2">
        <v>7.7</v>
      </c>
      <c r="D2707" s="2">
        <v>2.77</v>
      </c>
      <c r="E2707" s="2">
        <v>0.12</v>
      </c>
      <c r="F2707" s="2">
        <v>50.0</v>
      </c>
      <c r="G2707" s="4">
        <v>44461.063937569445</v>
      </c>
      <c r="H2707" s="8">
        <v>44461.0</v>
      </c>
    </row>
    <row r="2708">
      <c r="A2708" s="2">
        <v>0.27</v>
      </c>
      <c r="B2708" s="2">
        <v>234.6</v>
      </c>
      <c r="C2708" s="2">
        <v>5.7</v>
      </c>
      <c r="D2708" s="2">
        <v>2.77</v>
      </c>
      <c r="E2708" s="2">
        <v>0.09</v>
      </c>
      <c r="F2708" s="2">
        <v>50.0</v>
      </c>
      <c r="G2708" s="4">
        <v>44461.06405119213</v>
      </c>
      <c r="H2708" s="8">
        <v>44461.0</v>
      </c>
    </row>
    <row r="2709">
      <c r="A2709" s="2">
        <v>0.27</v>
      </c>
      <c r="B2709" s="2">
        <v>234.8</v>
      </c>
      <c r="C2709" s="2">
        <v>4.3</v>
      </c>
      <c r="D2709" s="2">
        <v>2.77</v>
      </c>
      <c r="E2709" s="2">
        <v>0.07</v>
      </c>
      <c r="F2709" s="2">
        <v>50.0</v>
      </c>
      <c r="G2709" s="4">
        <v>44461.06416006944</v>
      </c>
      <c r="H2709" s="8">
        <v>44461.0</v>
      </c>
    </row>
    <row r="2710">
      <c r="A2710" s="2">
        <v>0.3</v>
      </c>
      <c r="B2710" s="2">
        <v>234.8</v>
      </c>
      <c r="C2710" s="2">
        <v>11.2</v>
      </c>
      <c r="D2710" s="2">
        <v>2.77</v>
      </c>
      <c r="E2710" s="2">
        <v>0.16</v>
      </c>
      <c r="F2710" s="2">
        <v>50.0</v>
      </c>
      <c r="G2710" s="4">
        <v>44461.06426270833</v>
      </c>
      <c r="H2710" s="8">
        <v>44461.0</v>
      </c>
    </row>
    <row r="2711">
      <c r="A2711" s="2">
        <v>0.27</v>
      </c>
      <c r="B2711" s="2">
        <v>234.8</v>
      </c>
      <c r="C2711" s="2">
        <v>5.0</v>
      </c>
      <c r="D2711" s="2">
        <v>2.77</v>
      </c>
      <c r="E2711" s="2">
        <v>0.08</v>
      </c>
      <c r="F2711" s="2">
        <v>50.0</v>
      </c>
      <c r="G2711" s="4">
        <v>44461.06437440972</v>
      </c>
      <c r="H2711" s="8">
        <v>44461.0</v>
      </c>
    </row>
    <row r="2712">
      <c r="A2712" s="2">
        <v>0.28</v>
      </c>
      <c r="B2712" s="2">
        <v>234.7</v>
      </c>
      <c r="C2712" s="2">
        <v>6.1</v>
      </c>
      <c r="D2712" s="2">
        <v>2.77</v>
      </c>
      <c r="E2712" s="2">
        <v>0.09</v>
      </c>
      <c r="F2712" s="2">
        <v>50.0</v>
      </c>
      <c r="G2712" s="4">
        <v>44461.064480347224</v>
      </c>
      <c r="H2712" s="8">
        <v>44461.0</v>
      </c>
    </row>
    <row r="2713">
      <c r="A2713" s="2">
        <v>0.28</v>
      </c>
      <c r="B2713" s="2">
        <v>234.5</v>
      </c>
      <c r="C2713" s="2">
        <v>8.8</v>
      </c>
      <c r="D2713" s="2">
        <v>2.77</v>
      </c>
      <c r="E2713" s="2">
        <v>0.13</v>
      </c>
      <c r="F2713" s="2">
        <v>50.0</v>
      </c>
      <c r="G2713" s="4">
        <v>44461.06458634259</v>
      </c>
      <c r="H2713" s="8">
        <v>44461.0</v>
      </c>
    </row>
    <row r="2714">
      <c r="A2714" s="2">
        <v>0.28</v>
      </c>
      <c r="B2714" s="2">
        <v>234.5</v>
      </c>
      <c r="C2714" s="2">
        <v>6.9</v>
      </c>
      <c r="D2714" s="2">
        <v>2.77</v>
      </c>
      <c r="E2714" s="2">
        <v>0.11</v>
      </c>
      <c r="F2714" s="2">
        <v>50.0</v>
      </c>
      <c r="G2714" s="4">
        <v>44461.06469431713</v>
      </c>
      <c r="H2714" s="8">
        <v>44461.0</v>
      </c>
    </row>
    <row r="2715">
      <c r="A2715" s="2">
        <v>0.27</v>
      </c>
      <c r="B2715" s="2">
        <v>234.5</v>
      </c>
      <c r="C2715" s="2">
        <v>5.7</v>
      </c>
      <c r="D2715" s="2">
        <v>2.77</v>
      </c>
      <c r="E2715" s="2">
        <v>0.09</v>
      </c>
      <c r="F2715" s="2">
        <v>50.0</v>
      </c>
      <c r="G2715" s="4">
        <v>44461.06480273148</v>
      </c>
      <c r="H2715" s="8">
        <v>44461.0</v>
      </c>
    </row>
    <row r="2716">
      <c r="A2716" s="2">
        <v>0.27</v>
      </c>
      <c r="B2716" s="2">
        <v>234.4</v>
      </c>
      <c r="C2716" s="2">
        <v>5.6</v>
      </c>
      <c r="D2716" s="2">
        <v>2.77</v>
      </c>
      <c r="E2716" s="2">
        <v>0.09</v>
      </c>
      <c r="F2716" s="2">
        <v>50.0</v>
      </c>
      <c r="G2716" s="4">
        <v>44461.06491693287</v>
      </c>
      <c r="H2716" s="8">
        <v>44461.0</v>
      </c>
    </row>
    <row r="2717">
      <c r="A2717" s="2">
        <v>0.28</v>
      </c>
      <c r="B2717" s="2">
        <v>234.3</v>
      </c>
      <c r="C2717" s="2">
        <v>7.1</v>
      </c>
      <c r="D2717" s="2">
        <v>2.77</v>
      </c>
      <c r="E2717" s="2">
        <v>0.11</v>
      </c>
      <c r="F2717" s="2">
        <v>50.0</v>
      </c>
      <c r="G2717" s="4">
        <v>44461.06502513889</v>
      </c>
      <c r="H2717" s="8">
        <v>44461.0</v>
      </c>
    </row>
    <row r="2718">
      <c r="A2718" s="2">
        <v>0.29</v>
      </c>
      <c r="B2718" s="2">
        <v>234.4</v>
      </c>
      <c r="C2718" s="2">
        <v>8.4</v>
      </c>
      <c r="D2718" s="2">
        <v>2.77</v>
      </c>
      <c r="E2718" s="2">
        <v>0.12</v>
      </c>
      <c r="F2718" s="2">
        <v>50.0</v>
      </c>
      <c r="G2718" s="4">
        <v>44461.065133634256</v>
      </c>
      <c r="H2718" s="8">
        <v>44461.0</v>
      </c>
    </row>
    <row r="2719">
      <c r="A2719" s="2">
        <v>0.27</v>
      </c>
      <c r="B2719" s="2">
        <v>234.4</v>
      </c>
      <c r="C2719" s="2">
        <v>5.4</v>
      </c>
      <c r="D2719" s="2">
        <v>2.77</v>
      </c>
      <c r="E2719" s="2">
        <v>0.08</v>
      </c>
      <c r="F2719" s="2">
        <v>50.0</v>
      </c>
      <c r="G2719" s="4">
        <v>44461.06523950231</v>
      </c>
      <c r="H2719" s="8">
        <v>44461.0</v>
      </c>
    </row>
    <row r="2720">
      <c r="A2720" s="2">
        <v>0.27</v>
      </c>
      <c r="B2720" s="2">
        <v>234.6</v>
      </c>
      <c r="C2720" s="2">
        <v>5.3</v>
      </c>
      <c r="D2720" s="2">
        <v>2.77</v>
      </c>
      <c r="E2720" s="2">
        <v>0.08</v>
      </c>
      <c r="F2720" s="2">
        <v>50.0</v>
      </c>
      <c r="G2720" s="4">
        <v>44461.06535628472</v>
      </c>
      <c r="H2720" s="8">
        <v>44461.0</v>
      </c>
    </row>
    <row r="2721">
      <c r="A2721" s="2">
        <v>0.27</v>
      </c>
      <c r="B2721" s="2">
        <v>234.7</v>
      </c>
      <c r="C2721" s="2">
        <v>4.4</v>
      </c>
      <c r="D2721" s="2">
        <v>2.77</v>
      </c>
      <c r="E2721" s="2">
        <v>0.07</v>
      </c>
      <c r="F2721" s="2">
        <v>50.0</v>
      </c>
      <c r="G2721" s="4">
        <v>44461.065469988425</v>
      </c>
      <c r="H2721" s="8">
        <v>44461.0</v>
      </c>
    </row>
    <row r="2722">
      <c r="A2722" s="2">
        <v>0.3</v>
      </c>
      <c r="B2722" s="2">
        <v>234.6</v>
      </c>
      <c r="C2722" s="2">
        <v>11.6</v>
      </c>
      <c r="D2722" s="2">
        <v>2.77</v>
      </c>
      <c r="E2722" s="2">
        <v>0.17</v>
      </c>
      <c r="F2722" s="2">
        <v>50.0</v>
      </c>
      <c r="G2722" s="4">
        <v>44461.06557773148</v>
      </c>
      <c r="H2722" s="8">
        <v>44461.0</v>
      </c>
    </row>
    <row r="2723">
      <c r="A2723" s="2">
        <v>0.27</v>
      </c>
      <c r="B2723" s="2">
        <v>234.6</v>
      </c>
      <c r="C2723" s="2">
        <v>5.0</v>
      </c>
      <c r="D2723" s="2">
        <v>2.77</v>
      </c>
      <c r="E2723" s="2">
        <v>0.08</v>
      </c>
      <c r="F2723" s="2">
        <v>50.0</v>
      </c>
      <c r="G2723" s="4">
        <v>44461.06568247685</v>
      </c>
      <c r="H2723" s="8">
        <v>44461.0</v>
      </c>
    </row>
    <row r="2724">
      <c r="A2724" s="2">
        <v>0.27</v>
      </c>
      <c r="B2724" s="2">
        <v>234.6</v>
      </c>
      <c r="C2724" s="2">
        <v>5.7</v>
      </c>
      <c r="D2724" s="2">
        <v>2.77</v>
      </c>
      <c r="E2724" s="2">
        <v>0.09</v>
      </c>
      <c r="F2724" s="2">
        <v>50.0</v>
      </c>
      <c r="G2724" s="4">
        <v>44461.06579115741</v>
      </c>
      <c r="H2724" s="8">
        <v>44461.0</v>
      </c>
    </row>
    <row r="2725">
      <c r="A2725" s="2">
        <v>0.27</v>
      </c>
      <c r="B2725" s="2">
        <v>234.4</v>
      </c>
      <c r="C2725" s="2">
        <v>6.1</v>
      </c>
      <c r="D2725" s="2">
        <v>2.77</v>
      </c>
      <c r="E2725" s="2">
        <v>0.1</v>
      </c>
      <c r="F2725" s="2">
        <v>50.0</v>
      </c>
      <c r="G2725" s="4">
        <v>44461.06591300926</v>
      </c>
      <c r="H2725" s="8">
        <v>44461.0</v>
      </c>
    </row>
    <row r="2726">
      <c r="A2726" s="2">
        <v>0.29</v>
      </c>
      <c r="B2726" s="2">
        <v>233.5</v>
      </c>
      <c r="C2726" s="2">
        <v>10.0</v>
      </c>
      <c r="D2726" s="2">
        <v>2.77</v>
      </c>
      <c r="E2726" s="2">
        <v>0.15</v>
      </c>
      <c r="F2726" s="2">
        <v>50.0</v>
      </c>
      <c r="G2726" s="4">
        <v>44461.06602068287</v>
      </c>
      <c r="H2726" s="8">
        <v>44461.0</v>
      </c>
    </row>
    <row r="2727">
      <c r="A2727" s="2">
        <v>0.28</v>
      </c>
      <c r="B2727" s="2">
        <v>233.3</v>
      </c>
      <c r="C2727" s="2">
        <v>6.8</v>
      </c>
      <c r="D2727" s="2">
        <v>2.77</v>
      </c>
      <c r="E2727" s="2">
        <v>0.1</v>
      </c>
      <c r="F2727" s="2">
        <v>50.0</v>
      </c>
      <c r="G2727" s="4">
        <v>44461.06612732639</v>
      </c>
      <c r="H2727" s="8">
        <v>44461.0</v>
      </c>
    </row>
    <row r="2728">
      <c r="A2728" s="2">
        <v>0.27</v>
      </c>
      <c r="B2728" s="2">
        <v>233.3</v>
      </c>
      <c r="C2728" s="2">
        <v>5.8</v>
      </c>
      <c r="D2728" s="2">
        <v>2.77</v>
      </c>
      <c r="E2728" s="2">
        <v>0.09</v>
      </c>
      <c r="F2728" s="2">
        <v>50.0</v>
      </c>
      <c r="G2728" s="4">
        <v>44461.06623431713</v>
      </c>
      <c r="H2728" s="8">
        <v>44461.0</v>
      </c>
    </row>
    <row r="2729">
      <c r="A2729" s="2">
        <v>0.29</v>
      </c>
      <c r="B2729" s="2">
        <v>233.3</v>
      </c>
      <c r="C2729" s="2">
        <v>10.5</v>
      </c>
      <c r="D2729" s="2">
        <v>2.77</v>
      </c>
      <c r="E2729" s="2">
        <v>0.16</v>
      </c>
      <c r="F2729" s="2">
        <v>50.0</v>
      </c>
      <c r="G2729" s="4">
        <v>44461.06633756944</v>
      </c>
      <c r="H2729" s="8">
        <v>44461.0</v>
      </c>
    </row>
    <row r="2730">
      <c r="A2730" s="2">
        <v>0.29</v>
      </c>
      <c r="B2730" s="2">
        <v>233.4</v>
      </c>
      <c r="C2730" s="2">
        <v>10.1</v>
      </c>
      <c r="D2730" s="2">
        <v>2.77</v>
      </c>
      <c r="E2730" s="2">
        <v>0.15</v>
      </c>
      <c r="F2730" s="2">
        <v>50.0</v>
      </c>
      <c r="G2730" s="4">
        <v>44461.06645194444</v>
      </c>
      <c r="H2730" s="8">
        <v>44461.0</v>
      </c>
    </row>
    <row r="2731">
      <c r="A2731" s="2">
        <v>0.27</v>
      </c>
      <c r="B2731" s="2">
        <v>233.5</v>
      </c>
      <c r="C2731" s="2">
        <v>6.1</v>
      </c>
      <c r="D2731" s="2">
        <v>2.77</v>
      </c>
      <c r="E2731" s="2">
        <v>0.1</v>
      </c>
      <c r="F2731" s="2">
        <v>50.0</v>
      </c>
      <c r="G2731" s="4">
        <v>44461.06656216436</v>
      </c>
      <c r="H2731" s="8">
        <v>44461.0</v>
      </c>
    </row>
    <row r="2732">
      <c r="A2732" s="2">
        <v>0.28</v>
      </c>
      <c r="B2732" s="2">
        <v>233.7</v>
      </c>
      <c r="C2732" s="2">
        <v>6.5</v>
      </c>
      <c r="D2732" s="2">
        <v>2.77</v>
      </c>
      <c r="E2732" s="2">
        <v>0.1</v>
      </c>
      <c r="F2732" s="2">
        <v>50.0</v>
      </c>
      <c r="G2732" s="4">
        <v>44461.06666981481</v>
      </c>
      <c r="H2732" s="8">
        <v>44461.0</v>
      </c>
    </row>
    <row r="2733">
      <c r="A2733" s="2">
        <v>0.27</v>
      </c>
      <c r="B2733" s="2">
        <v>233.8</v>
      </c>
      <c r="C2733" s="2">
        <v>4.2</v>
      </c>
      <c r="D2733" s="2">
        <v>2.77</v>
      </c>
      <c r="E2733" s="2">
        <v>0.07</v>
      </c>
      <c r="F2733" s="2">
        <v>50.0</v>
      </c>
      <c r="G2733" s="4">
        <v>44461.0667746875</v>
      </c>
      <c r="H2733" s="8">
        <v>44461.0</v>
      </c>
    </row>
    <row r="2734">
      <c r="A2734" s="2">
        <v>0.29</v>
      </c>
      <c r="B2734" s="2">
        <v>233.8</v>
      </c>
      <c r="C2734" s="2">
        <v>11.2</v>
      </c>
      <c r="D2734" s="2">
        <v>2.77</v>
      </c>
      <c r="E2734" s="2">
        <v>0.16</v>
      </c>
      <c r="F2734" s="2">
        <v>50.0</v>
      </c>
      <c r="G2734" s="4">
        <v>44461.066883217594</v>
      </c>
      <c r="H2734" s="8">
        <v>44461.0</v>
      </c>
    </row>
    <row r="2735">
      <c r="A2735" s="2">
        <v>0.28</v>
      </c>
      <c r="B2735" s="2">
        <v>233.8</v>
      </c>
      <c r="C2735" s="2">
        <v>6.3</v>
      </c>
      <c r="D2735" s="2">
        <v>2.77</v>
      </c>
      <c r="E2735" s="2">
        <v>0.1</v>
      </c>
      <c r="F2735" s="2">
        <v>50.0</v>
      </c>
      <c r="G2735" s="4">
        <v>44461.066986481484</v>
      </c>
      <c r="H2735" s="8">
        <v>44461.0</v>
      </c>
    </row>
    <row r="2736">
      <c r="A2736" s="2">
        <v>0.27</v>
      </c>
      <c r="B2736" s="2">
        <v>234.0</v>
      </c>
      <c r="C2736" s="2">
        <v>5.3</v>
      </c>
      <c r="D2736" s="2">
        <v>2.77</v>
      </c>
      <c r="E2736" s="2">
        <v>0.08</v>
      </c>
      <c r="F2736" s="2">
        <v>50.0</v>
      </c>
      <c r="G2736" s="4">
        <v>44461.06708983796</v>
      </c>
      <c r="H2736" s="8">
        <v>44461.0</v>
      </c>
    </row>
    <row r="2737">
      <c r="A2737" s="2">
        <v>0.28</v>
      </c>
      <c r="B2737" s="2">
        <v>234.0</v>
      </c>
      <c r="C2737" s="2">
        <v>9.1</v>
      </c>
      <c r="D2737" s="2">
        <v>2.78</v>
      </c>
      <c r="E2737" s="2">
        <v>0.14</v>
      </c>
      <c r="F2737" s="2">
        <v>50.0</v>
      </c>
      <c r="G2737" s="4">
        <v>44461.067197951386</v>
      </c>
      <c r="H2737" s="8">
        <v>44461.0</v>
      </c>
    </row>
    <row r="2738">
      <c r="A2738" s="2">
        <v>0.3</v>
      </c>
      <c r="B2738" s="2">
        <v>234.0</v>
      </c>
      <c r="C2738" s="2">
        <v>11.0</v>
      </c>
      <c r="D2738" s="2">
        <v>2.78</v>
      </c>
      <c r="E2738" s="2">
        <v>0.16</v>
      </c>
      <c r="F2738" s="2">
        <v>50.0</v>
      </c>
      <c r="G2738" s="4">
        <v>44461.067301296294</v>
      </c>
      <c r="H2738" s="8">
        <v>44461.0</v>
      </c>
    </row>
    <row r="2739">
      <c r="A2739" s="2">
        <v>0.27</v>
      </c>
      <c r="B2739" s="2">
        <v>234.0</v>
      </c>
      <c r="C2739" s="2">
        <v>5.3</v>
      </c>
      <c r="D2739" s="2">
        <v>2.78</v>
      </c>
      <c r="E2739" s="2">
        <v>0.08</v>
      </c>
      <c r="F2739" s="2">
        <v>50.0</v>
      </c>
      <c r="G2739" s="4">
        <v>44461.067404236106</v>
      </c>
      <c r="H2739" s="8">
        <v>44461.0</v>
      </c>
    </row>
    <row r="2740">
      <c r="A2740" s="2">
        <v>0.29</v>
      </c>
      <c r="B2740" s="2">
        <v>233.9</v>
      </c>
      <c r="C2740" s="2">
        <v>10.4</v>
      </c>
      <c r="D2740" s="2">
        <v>2.78</v>
      </c>
      <c r="E2740" s="2">
        <v>0.15</v>
      </c>
      <c r="F2740" s="2">
        <v>50.0</v>
      </c>
      <c r="G2740" s="4">
        <v>44461.067513472226</v>
      </c>
      <c r="H2740" s="8">
        <v>44461.0</v>
      </c>
    </row>
    <row r="2741">
      <c r="A2741" s="2">
        <v>0.3</v>
      </c>
      <c r="B2741" s="2">
        <v>233.7</v>
      </c>
      <c r="C2741" s="2">
        <v>11.7</v>
      </c>
      <c r="D2741" s="2">
        <v>2.78</v>
      </c>
      <c r="E2741" s="2">
        <v>0.17</v>
      </c>
      <c r="F2741" s="2">
        <v>50.0</v>
      </c>
      <c r="G2741" s="4">
        <v>44461.067618298606</v>
      </c>
      <c r="H2741" s="8">
        <v>44461.0</v>
      </c>
    </row>
    <row r="2742">
      <c r="A2742" s="2">
        <v>0.27</v>
      </c>
      <c r="B2742" s="2">
        <v>233.6</v>
      </c>
      <c r="C2742" s="2">
        <v>5.7</v>
      </c>
      <c r="D2742" s="2">
        <v>2.78</v>
      </c>
      <c r="E2742" s="2">
        <v>0.09</v>
      </c>
      <c r="F2742" s="2">
        <v>50.0</v>
      </c>
      <c r="G2742" s="4">
        <v>44461.06772415509</v>
      </c>
      <c r="H2742" s="8">
        <v>44461.0</v>
      </c>
    </row>
    <row r="2743">
      <c r="A2743" s="2">
        <v>0.27</v>
      </c>
      <c r="B2743" s="2">
        <v>233.7</v>
      </c>
      <c r="C2743" s="2">
        <v>5.2</v>
      </c>
      <c r="D2743" s="2">
        <v>2.78</v>
      </c>
      <c r="E2743" s="2">
        <v>0.08</v>
      </c>
      <c r="F2743" s="2">
        <v>50.0</v>
      </c>
      <c r="G2743" s="4">
        <v>44461.06783398148</v>
      </c>
      <c r="H2743" s="8">
        <v>44461.0</v>
      </c>
    </row>
    <row r="2744">
      <c r="A2744" s="2">
        <v>0.27</v>
      </c>
      <c r="B2744" s="2">
        <v>233.7</v>
      </c>
      <c r="C2744" s="2">
        <v>5.0</v>
      </c>
      <c r="D2744" s="2">
        <v>2.78</v>
      </c>
      <c r="E2744" s="2">
        <v>0.08</v>
      </c>
      <c r="F2744" s="2">
        <v>50.0</v>
      </c>
      <c r="G2744" s="4">
        <v>44461.06794228009</v>
      </c>
      <c r="H2744" s="8">
        <v>44461.0</v>
      </c>
    </row>
    <row r="2745">
      <c r="A2745" s="2">
        <v>0.29</v>
      </c>
      <c r="B2745" s="2">
        <v>233.7</v>
      </c>
      <c r="C2745" s="2">
        <v>10.2</v>
      </c>
      <c r="D2745" s="2">
        <v>2.78</v>
      </c>
      <c r="E2745" s="2">
        <v>0.15</v>
      </c>
      <c r="F2745" s="2">
        <v>50.0</v>
      </c>
      <c r="G2745" s="4">
        <v>44461.06805405093</v>
      </c>
      <c r="H2745" s="8">
        <v>44461.0</v>
      </c>
    </row>
    <row r="2746">
      <c r="A2746" s="2">
        <v>0.3</v>
      </c>
      <c r="B2746" s="2">
        <v>233.6</v>
      </c>
      <c r="C2746" s="2">
        <v>12.1</v>
      </c>
      <c r="D2746" s="2">
        <v>2.78</v>
      </c>
      <c r="E2746" s="2">
        <v>0.17</v>
      </c>
      <c r="F2746" s="2">
        <v>50.0</v>
      </c>
      <c r="G2746" s="4">
        <v>44461.0681665625</v>
      </c>
      <c r="H2746" s="8">
        <v>44461.0</v>
      </c>
    </row>
    <row r="2747">
      <c r="A2747" s="2">
        <v>0.3</v>
      </c>
      <c r="B2747" s="2">
        <v>233.9</v>
      </c>
      <c r="C2747" s="2">
        <v>10.8</v>
      </c>
      <c r="D2747" s="2">
        <v>2.78</v>
      </c>
      <c r="E2747" s="2">
        <v>0.15</v>
      </c>
      <c r="F2747" s="2">
        <v>50.0</v>
      </c>
      <c r="G2747" s="4">
        <v>44461.06828116898</v>
      </c>
      <c r="H2747" s="8">
        <v>44461.0</v>
      </c>
    </row>
    <row r="2748">
      <c r="A2748" s="2">
        <v>0.27</v>
      </c>
      <c r="B2748" s="2">
        <v>234.0</v>
      </c>
      <c r="C2748" s="2">
        <v>5.6</v>
      </c>
      <c r="D2748" s="2">
        <v>2.78</v>
      </c>
      <c r="E2748" s="2">
        <v>0.09</v>
      </c>
      <c r="F2748" s="2">
        <v>50.0</v>
      </c>
      <c r="G2748" s="4">
        <v>44461.06838927083</v>
      </c>
      <c r="H2748" s="8">
        <v>44461.0</v>
      </c>
    </row>
    <row r="2749">
      <c r="A2749" s="2">
        <v>0.27</v>
      </c>
      <c r="B2749" s="2">
        <v>233.9</v>
      </c>
      <c r="C2749" s="2">
        <v>5.2</v>
      </c>
      <c r="D2749" s="2">
        <v>2.78</v>
      </c>
      <c r="E2749" s="2">
        <v>0.08</v>
      </c>
      <c r="F2749" s="2">
        <v>50.0</v>
      </c>
      <c r="G2749" s="4">
        <v>44461.06849416667</v>
      </c>
      <c r="H2749" s="8">
        <v>44461.0</v>
      </c>
    </row>
    <row r="2750">
      <c r="A2750" s="2">
        <v>0.28</v>
      </c>
      <c r="B2750" s="2">
        <v>233.9</v>
      </c>
      <c r="C2750" s="2">
        <v>8.9</v>
      </c>
      <c r="D2750" s="2">
        <v>2.78</v>
      </c>
      <c r="E2750" s="2">
        <v>0.13</v>
      </c>
      <c r="F2750" s="2">
        <v>50.0</v>
      </c>
      <c r="G2750" s="4">
        <v>44461.06865054398</v>
      </c>
      <c r="H2750" s="8">
        <v>44461.0</v>
      </c>
    </row>
    <row r="2751">
      <c r="A2751" s="2">
        <v>0.29</v>
      </c>
      <c r="B2751" s="2">
        <v>233.9</v>
      </c>
      <c r="C2751" s="2">
        <v>8.6</v>
      </c>
      <c r="D2751" s="2">
        <v>2.78</v>
      </c>
      <c r="E2751" s="2">
        <v>0.13</v>
      </c>
      <c r="F2751" s="2">
        <v>50.0</v>
      </c>
      <c r="G2751" s="4">
        <v>44461.06875351851</v>
      </c>
      <c r="H2751" s="8">
        <v>44461.0</v>
      </c>
    </row>
    <row r="2752">
      <c r="A2752" s="2">
        <v>0.27</v>
      </c>
      <c r="B2752" s="2">
        <v>233.8</v>
      </c>
      <c r="C2752" s="2">
        <v>5.0</v>
      </c>
      <c r="D2752" s="2">
        <v>2.78</v>
      </c>
      <c r="E2752" s="2">
        <v>0.08</v>
      </c>
      <c r="F2752" s="2">
        <v>50.0</v>
      </c>
      <c r="G2752" s="4">
        <v>44461.06885784722</v>
      </c>
      <c r="H2752" s="8">
        <v>44461.0</v>
      </c>
    </row>
    <row r="2753">
      <c r="A2753" s="2">
        <v>0.27</v>
      </c>
      <c r="B2753" s="2">
        <v>233.8</v>
      </c>
      <c r="C2753" s="2">
        <v>6.2</v>
      </c>
      <c r="D2753" s="2">
        <v>2.78</v>
      </c>
      <c r="E2753" s="2">
        <v>0.1</v>
      </c>
      <c r="F2753" s="2">
        <v>50.0</v>
      </c>
      <c r="G2753" s="4">
        <v>44461.06897353009</v>
      </c>
      <c r="H2753" s="8">
        <v>44461.0</v>
      </c>
    </row>
    <row r="2754">
      <c r="A2754" s="2">
        <v>0.27</v>
      </c>
      <c r="B2754" s="2">
        <v>233.7</v>
      </c>
      <c r="C2754" s="2">
        <v>6.1</v>
      </c>
      <c r="D2754" s="2">
        <v>2.78</v>
      </c>
      <c r="E2754" s="2">
        <v>0.1</v>
      </c>
      <c r="F2754" s="2">
        <v>49.9</v>
      </c>
      <c r="G2754" s="4">
        <v>44461.0690878125</v>
      </c>
      <c r="H2754" s="8">
        <v>44461.0</v>
      </c>
    </row>
    <row r="2755">
      <c r="A2755" s="2">
        <v>0.28</v>
      </c>
      <c r="B2755" s="2">
        <v>233.5</v>
      </c>
      <c r="C2755" s="2">
        <v>7.8</v>
      </c>
      <c r="D2755" s="2">
        <v>2.78</v>
      </c>
      <c r="E2755" s="2">
        <v>0.12</v>
      </c>
      <c r="F2755" s="2">
        <v>49.9</v>
      </c>
      <c r="G2755" s="4">
        <v>44461.06920353009</v>
      </c>
      <c r="H2755" s="8">
        <v>44461.0</v>
      </c>
    </row>
    <row r="2756">
      <c r="A2756" s="2">
        <v>0.28</v>
      </c>
      <c r="B2756" s="2">
        <v>233.7</v>
      </c>
      <c r="C2756" s="2">
        <v>6.4</v>
      </c>
      <c r="D2756" s="2">
        <v>2.78</v>
      </c>
      <c r="E2756" s="2">
        <v>0.1</v>
      </c>
      <c r="F2756" s="2">
        <v>49.9</v>
      </c>
      <c r="G2756" s="4">
        <v>44461.06931244213</v>
      </c>
      <c r="H2756" s="8">
        <v>44461.0</v>
      </c>
    </row>
    <row r="2757">
      <c r="A2757" s="2">
        <v>0.27</v>
      </c>
      <c r="B2757" s="2">
        <v>233.7</v>
      </c>
      <c r="C2757" s="2">
        <v>4.2</v>
      </c>
      <c r="D2757" s="2">
        <v>2.78</v>
      </c>
      <c r="E2757" s="2">
        <v>0.07</v>
      </c>
      <c r="F2757" s="2">
        <v>49.9</v>
      </c>
      <c r="G2757" s="4">
        <v>44461.069417199076</v>
      </c>
      <c r="H2757" s="8">
        <v>44461.0</v>
      </c>
    </row>
    <row r="2758">
      <c r="A2758" s="2">
        <v>0.27</v>
      </c>
      <c r="B2758" s="2">
        <v>233.7</v>
      </c>
      <c r="C2758" s="2">
        <v>4.5</v>
      </c>
      <c r="D2758" s="2">
        <v>2.78</v>
      </c>
      <c r="E2758" s="2">
        <v>0.07</v>
      </c>
      <c r="F2758" s="2">
        <v>49.9</v>
      </c>
      <c r="G2758" s="4">
        <v>44461.06952804398</v>
      </c>
      <c r="H2758" s="8">
        <v>44461.0</v>
      </c>
    </row>
    <row r="2759">
      <c r="A2759" s="2">
        <v>0.28</v>
      </c>
      <c r="B2759" s="2">
        <v>233.7</v>
      </c>
      <c r="C2759" s="2">
        <v>7.7</v>
      </c>
      <c r="D2759" s="2">
        <v>2.78</v>
      </c>
      <c r="E2759" s="2">
        <v>0.12</v>
      </c>
      <c r="F2759" s="2">
        <v>49.9</v>
      </c>
      <c r="G2759" s="4">
        <v>44461.069637395834</v>
      </c>
      <c r="H2759" s="8">
        <v>44461.0</v>
      </c>
    </row>
    <row r="2760">
      <c r="A2760" s="2">
        <v>0.28</v>
      </c>
      <c r="B2760" s="2">
        <v>233.8</v>
      </c>
      <c r="C2760" s="2">
        <v>7.5</v>
      </c>
      <c r="D2760" s="2">
        <v>2.78</v>
      </c>
      <c r="E2760" s="2">
        <v>0.11</v>
      </c>
      <c r="F2760" s="2">
        <v>49.9</v>
      </c>
      <c r="G2760" s="4">
        <v>44461.069744374996</v>
      </c>
      <c r="H2760" s="8">
        <v>44461.0</v>
      </c>
    </row>
    <row r="2761">
      <c r="A2761" s="2">
        <v>0.27</v>
      </c>
      <c r="B2761" s="2">
        <v>234.0</v>
      </c>
      <c r="C2761" s="2">
        <v>6.0</v>
      </c>
      <c r="D2761" s="2">
        <v>2.78</v>
      </c>
      <c r="E2761" s="2">
        <v>0.09</v>
      </c>
      <c r="F2761" s="2">
        <v>50.0</v>
      </c>
      <c r="G2761" s="4">
        <v>44461.069847384264</v>
      </c>
      <c r="H2761" s="8">
        <v>44461.0</v>
      </c>
    </row>
    <row r="2762">
      <c r="A2762" s="2">
        <v>0.27</v>
      </c>
      <c r="B2762" s="2">
        <v>234.1</v>
      </c>
      <c r="C2762" s="2">
        <v>4.7</v>
      </c>
      <c r="D2762" s="2">
        <v>2.78</v>
      </c>
      <c r="E2762" s="2">
        <v>0.08</v>
      </c>
      <c r="F2762" s="2">
        <v>50.0</v>
      </c>
      <c r="G2762" s="4">
        <v>44461.06995232639</v>
      </c>
      <c r="H2762" s="8">
        <v>44461.0</v>
      </c>
    </row>
    <row r="2763">
      <c r="A2763" s="2">
        <v>0.27</v>
      </c>
      <c r="B2763" s="2">
        <v>234.2</v>
      </c>
      <c r="C2763" s="2">
        <v>4.8</v>
      </c>
      <c r="D2763" s="2">
        <v>2.78</v>
      </c>
      <c r="E2763" s="2">
        <v>0.08</v>
      </c>
      <c r="F2763" s="2">
        <v>50.0</v>
      </c>
      <c r="G2763" s="4">
        <v>44461.07005414352</v>
      </c>
      <c r="H2763" s="8">
        <v>44461.0</v>
      </c>
    </row>
    <row r="2764">
      <c r="A2764" s="2">
        <v>0.28</v>
      </c>
      <c r="B2764" s="2">
        <v>234.2</v>
      </c>
      <c r="C2764" s="2">
        <v>6.4</v>
      </c>
      <c r="D2764" s="2">
        <v>2.78</v>
      </c>
      <c r="E2764" s="2">
        <v>0.1</v>
      </c>
      <c r="F2764" s="2">
        <v>50.0</v>
      </c>
      <c r="G2764" s="4">
        <v>44461.07015594907</v>
      </c>
      <c r="H2764" s="8">
        <v>44461.0</v>
      </c>
    </row>
    <row r="2765">
      <c r="A2765" s="2">
        <v>0.27</v>
      </c>
      <c r="B2765" s="2">
        <v>234.3</v>
      </c>
      <c r="C2765" s="2">
        <v>4.1</v>
      </c>
      <c r="D2765" s="2">
        <v>2.78</v>
      </c>
      <c r="E2765" s="2">
        <v>0.07</v>
      </c>
      <c r="F2765" s="2">
        <v>50.0</v>
      </c>
      <c r="G2765" s="4">
        <v>44461.07025736111</v>
      </c>
      <c r="H2765" s="8">
        <v>44461.0</v>
      </c>
    </row>
    <row r="2766">
      <c r="A2766" s="2">
        <v>0.28</v>
      </c>
      <c r="B2766" s="2">
        <v>234.3</v>
      </c>
      <c r="C2766" s="2">
        <v>9.6</v>
      </c>
      <c r="D2766" s="2">
        <v>2.78</v>
      </c>
      <c r="E2766" s="2">
        <v>0.14</v>
      </c>
      <c r="F2766" s="2">
        <v>50.0</v>
      </c>
      <c r="G2766" s="4">
        <v>44461.07035944445</v>
      </c>
      <c r="H2766" s="8">
        <v>44461.0</v>
      </c>
    </row>
    <row r="2767">
      <c r="A2767" s="2">
        <v>0.28</v>
      </c>
      <c r="B2767" s="2">
        <v>234.3</v>
      </c>
      <c r="C2767" s="2">
        <v>6.1</v>
      </c>
      <c r="D2767" s="2">
        <v>2.78</v>
      </c>
      <c r="E2767" s="2">
        <v>0.09</v>
      </c>
      <c r="F2767" s="2">
        <v>50.0</v>
      </c>
      <c r="G2767" s="4">
        <v>44461.07046783565</v>
      </c>
      <c r="H2767" s="8">
        <v>44461.0</v>
      </c>
    </row>
    <row r="2768">
      <c r="A2768" s="2">
        <v>0.27</v>
      </c>
      <c r="B2768" s="2">
        <v>234.4</v>
      </c>
      <c r="C2768" s="2">
        <v>5.0</v>
      </c>
      <c r="D2768" s="2">
        <v>2.78</v>
      </c>
      <c r="E2768" s="2">
        <v>0.08</v>
      </c>
      <c r="F2768" s="2">
        <v>50.0</v>
      </c>
      <c r="G2768" s="4">
        <v>44461.07056997685</v>
      </c>
      <c r="H2768" s="8">
        <v>44461.0</v>
      </c>
    </row>
    <row r="2769">
      <c r="A2769" s="2">
        <v>0.28</v>
      </c>
      <c r="B2769" s="2">
        <v>234.3</v>
      </c>
      <c r="C2769" s="2">
        <v>8.2</v>
      </c>
      <c r="D2769" s="2">
        <v>2.78</v>
      </c>
      <c r="E2769" s="2">
        <v>0.13</v>
      </c>
      <c r="F2769" s="2">
        <v>50.0</v>
      </c>
      <c r="G2769" s="4">
        <v>44461.07067851852</v>
      </c>
      <c r="H2769" s="8">
        <v>44461.0</v>
      </c>
    </row>
    <row r="2770">
      <c r="A2770" s="2">
        <v>0.29</v>
      </c>
      <c r="B2770" s="2">
        <v>234.2</v>
      </c>
      <c r="C2770" s="2">
        <v>10.9</v>
      </c>
      <c r="D2770" s="2">
        <v>2.78</v>
      </c>
      <c r="E2770" s="2">
        <v>0.16</v>
      </c>
      <c r="F2770" s="2">
        <v>50.0</v>
      </c>
      <c r="G2770" s="4">
        <v>44461.070789502315</v>
      </c>
      <c r="H2770" s="8">
        <v>44461.0</v>
      </c>
    </row>
    <row r="2771">
      <c r="A2771" s="2">
        <v>0.28</v>
      </c>
      <c r="B2771" s="2">
        <v>234.3</v>
      </c>
      <c r="C2771" s="2">
        <v>5.8</v>
      </c>
      <c r="D2771" s="2">
        <v>2.78</v>
      </c>
      <c r="E2771" s="2">
        <v>0.09</v>
      </c>
      <c r="F2771" s="2">
        <v>50.0</v>
      </c>
      <c r="G2771" s="4">
        <v>44461.070892488424</v>
      </c>
      <c r="H2771" s="8">
        <v>44461.0</v>
      </c>
    </row>
    <row r="2772">
      <c r="A2772" s="2">
        <v>0.27</v>
      </c>
      <c r="B2772" s="2">
        <v>234.2</v>
      </c>
      <c r="C2772" s="2">
        <v>5.6</v>
      </c>
      <c r="D2772" s="2">
        <v>2.78</v>
      </c>
      <c r="E2772" s="2">
        <v>0.09</v>
      </c>
      <c r="F2772" s="2">
        <v>49.9</v>
      </c>
      <c r="G2772" s="4">
        <v>44461.0709933912</v>
      </c>
      <c r="H2772" s="8">
        <v>44461.0</v>
      </c>
    </row>
    <row r="2773">
      <c r="A2773" s="2">
        <v>0.28</v>
      </c>
      <c r="B2773" s="2">
        <v>234.2</v>
      </c>
      <c r="C2773" s="2">
        <v>7.6</v>
      </c>
      <c r="D2773" s="2">
        <v>2.78</v>
      </c>
      <c r="E2773" s="2">
        <v>0.12</v>
      </c>
      <c r="F2773" s="2">
        <v>49.9</v>
      </c>
      <c r="G2773" s="4">
        <v>44461.07109943287</v>
      </c>
      <c r="H2773" s="8">
        <v>44461.0</v>
      </c>
    </row>
    <row r="2774">
      <c r="A2774" s="2">
        <v>0.28</v>
      </c>
      <c r="B2774" s="2">
        <v>234.3</v>
      </c>
      <c r="C2774" s="2">
        <v>6.7</v>
      </c>
      <c r="D2774" s="2">
        <v>2.78</v>
      </c>
      <c r="E2774" s="2">
        <v>0.1</v>
      </c>
      <c r="F2774" s="2">
        <v>50.0</v>
      </c>
      <c r="G2774" s="4">
        <v>44461.07120869213</v>
      </c>
      <c r="H2774" s="8">
        <v>44461.0</v>
      </c>
    </row>
    <row r="2775">
      <c r="A2775" s="2">
        <v>0.27</v>
      </c>
      <c r="B2775" s="2">
        <v>234.0</v>
      </c>
      <c r="C2775" s="2">
        <v>4.8</v>
      </c>
      <c r="D2775" s="2">
        <v>2.78</v>
      </c>
      <c r="E2775" s="2">
        <v>0.08</v>
      </c>
      <c r="F2775" s="2">
        <v>49.9</v>
      </c>
      <c r="G2775" s="4">
        <v>44461.07131167824</v>
      </c>
      <c r="H2775" s="8">
        <v>44461.0</v>
      </c>
    </row>
    <row r="2776">
      <c r="A2776" s="2">
        <v>0.27</v>
      </c>
      <c r="B2776" s="2">
        <v>234.0</v>
      </c>
      <c r="C2776" s="2">
        <v>5.2</v>
      </c>
      <c r="D2776" s="2">
        <v>2.78</v>
      </c>
      <c r="E2776" s="2">
        <v>0.08</v>
      </c>
      <c r="F2776" s="2">
        <v>49.9</v>
      </c>
      <c r="G2776" s="4">
        <v>44461.07141472222</v>
      </c>
      <c r="H2776" s="8">
        <v>44461.0</v>
      </c>
    </row>
    <row r="2777">
      <c r="A2777" s="2">
        <v>0.3</v>
      </c>
      <c r="B2777" s="2">
        <v>234.0</v>
      </c>
      <c r="C2777" s="2">
        <v>10.4</v>
      </c>
      <c r="D2777" s="2">
        <v>2.78</v>
      </c>
      <c r="E2777" s="2">
        <v>0.15</v>
      </c>
      <c r="F2777" s="2">
        <v>50.0</v>
      </c>
      <c r="G2777" s="4">
        <v>44461.07151972222</v>
      </c>
      <c r="H2777" s="8">
        <v>44461.0</v>
      </c>
    </row>
    <row r="2778">
      <c r="A2778" s="2">
        <v>0.27</v>
      </c>
      <c r="B2778" s="2">
        <v>233.9</v>
      </c>
      <c r="C2778" s="2">
        <v>5.3</v>
      </c>
      <c r="D2778" s="2">
        <v>2.78</v>
      </c>
      <c r="E2778" s="2">
        <v>0.08</v>
      </c>
      <c r="F2778" s="2">
        <v>49.9</v>
      </c>
      <c r="G2778" s="4">
        <v>44461.071629178245</v>
      </c>
      <c r="H2778" s="8">
        <v>44461.0</v>
      </c>
    </row>
    <row r="2779">
      <c r="A2779" s="2">
        <v>0.27</v>
      </c>
      <c r="B2779" s="2">
        <v>234.0</v>
      </c>
      <c r="C2779" s="2">
        <v>5.2</v>
      </c>
      <c r="D2779" s="2">
        <v>2.78</v>
      </c>
      <c r="E2779" s="2">
        <v>0.08</v>
      </c>
      <c r="F2779" s="2">
        <v>49.9</v>
      </c>
      <c r="G2779" s="4">
        <v>44461.07173914352</v>
      </c>
      <c r="H2779" s="8">
        <v>44461.0</v>
      </c>
    </row>
    <row r="2780">
      <c r="A2780" s="2">
        <v>0.27</v>
      </c>
      <c r="B2780" s="2">
        <v>234.0</v>
      </c>
      <c r="C2780" s="2">
        <v>5.8</v>
      </c>
      <c r="D2780" s="2">
        <v>2.78</v>
      </c>
      <c r="E2780" s="2">
        <v>0.09</v>
      </c>
      <c r="F2780" s="2">
        <v>49.9</v>
      </c>
      <c r="G2780" s="4">
        <v>44461.07184871528</v>
      </c>
      <c r="H2780" s="8">
        <v>44461.0</v>
      </c>
    </row>
    <row r="2781">
      <c r="A2781" s="2">
        <v>0.28</v>
      </c>
      <c r="B2781" s="2">
        <v>234.0</v>
      </c>
      <c r="C2781" s="2">
        <v>7.3</v>
      </c>
      <c r="D2781" s="2">
        <v>2.78</v>
      </c>
      <c r="E2781" s="2">
        <v>0.11</v>
      </c>
      <c r="F2781" s="2">
        <v>50.0</v>
      </c>
      <c r="G2781" s="4">
        <v>44461.0719591088</v>
      </c>
      <c r="H2781" s="8">
        <v>44461.0</v>
      </c>
    </row>
    <row r="2782">
      <c r="A2782" s="2">
        <v>0.29</v>
      </c>
      <c r="B2782" s="2">
        <v>234.1</v>
      </c>
      <c r="C2782" s="2">
        <v>8.5</v>
      </c>
      <c r="D2782" s="2">
        <v>2.78</v>
      </c>
      <c r="E2782" s="2">
        <v>0.13</v>
      </c>
      <c r="F2782" s="2">
        <v>50.0</v>
      </c>
      <c r="G2782" s="4">
        <v>44461.072068877314</v>
      </c>
      <c r="H2782" s="8">
        <v>44461.0</v>
      </c>
    </row>
    <row r="2783">
      <c r="A2783" s="2">
        <v>0.27</v>
      </c>
      <c r="B2783" s="2">
        <v>234.2</v>
      </c>
      <c r="C2783" s="2">
        <v>4.1</v>
      </c>
      <c r="D2783" s="2">
        <v>2.78</v>
      </c>
      <c r="E2783" s="2">
        <v>0.07</v>
      </c>
      <c r="F2783" s="2">
        <v>50.0</v>
      </c>
      <c r="G2783" s="4">
        <v>44461.07217223379</v>
      </c>
      <c r="H2783" s="8">
        <v>44461.0</v>
      </c>
    </row>
    <row r="2784">
      <c r="A2784" s="2">
        <v>0.27</v>
      </c>
      <c r="B2784" s="2">
        <v>234.1</v>
      </c>
      <c r="C2784" s="2">
        <v>5.7</v>
      </c>
      <c r="D2784" s="2">
        <v>2.78</v>
      </c>
      <c r="E2784" s="2">
        <v>0.09</v>
      </c>
      <c r="F2784" s="2">
        <v>50.0</v>
      </c>
      <c r="G2784" s="4">
        <v>44461.072276736115</v>
      </c>
      <c r="H2784" s="8">
        <v>44461.0</v>
      </c>
    </row>
    <row r="2785">
      <c r="A2785" s="2">
        <v>0.29</v>
      </c>
      <c r="B2785" s="2">
        <v>234.1</v>
      </c>
      <c r="C2785" s="2">
        <v>10.1</v>
      </c>
      <c r="D2785" s="2">
        <v>2.78</v>
      </c>
      <c r="E2785" s="2">
        <v>0.15</v>
      </c>
      <c r="F2785" s="2">
        <v>50.0</v>
      </c>
      <c r="G2785" s="4">
        <v>44461.07237971065</v>
      </c>
      <c r="H2785" s="8">
        <v>44461.0</v>
      </c>
    </row>
    <row r="2786">
      <c r="A2786" s="2">
        <v>0.27</v>
      </c>
      <c r="B2786" s="2">
        <v>234.2</v>
      </c>
      <c r="C2786" s="2">
        <v>5.7</v>
      </c>
      <c r="D2786" s="2">
        <v>2.78</v>
      </c>
      <c r="E2786" s="2">
        <v>0.09</v>
      </c>
      <c r="F2786" s="2">
        <v>50.0</v>
      </c>
      <c r="G2786" s="4">
        <v>44461.072483819444</v>
      </c>
      <c r="H2786" s="8">
        <v>44461.0</v>
      </c>
    </row>
    <row r="2787">
      <c r="A2787" s="2">
        <v>0.27</v>
      </c>
      <c r="B2787" s="2">
        <v>234.0</v>
      </c>
      <c r="C2787" s="2">
        <v>5.0</v>
      </c>
      <c r="D2787" s="2">
        <v>2.78</v>
      </c>
      <c r="E2787" s="2">
        <v>0.08</v>
      </c>
      <c r="F2787" s="2">
        <v>49.9</v>
      </c>
      <c r="G2787" s="4">
        <v>44461.07258789352</v>
      </c>
      <c r="H2787" s="8">
        <v>44461.0</v>
      </c>
    </row>
    <row r="2788">
      <c r="A2788" s="2">
        <v>0.29</v>
      </c>
      <c r="B2788" s="2">
        <v>233.8</v>
      </c>
      <c r="C2788" s="2">
        <v>11.1</v>
      </c>
      <c r="D2788" s="2">
        <v>2.78</v>
      </c>
      <c r="E2788" s="2">
        <v>0.16</v>
      </c>
      <c r="F2788" s="2">
        <v>49.9</v>
      </c>
      <c r="G2788" s="4">
        <v>44461.072692800924</v>
      </c>
      <c r="H2788" s="8">
        <v>44461.0</v>
      </c>
    </row>
    <row r="2789">
      <c r="A2789" s="2">
        <v>0.3</v>
      </c>
      <c r="B2789" s="2">
        <v>233.8</v>
      </c>
      <c r="C2789" s="2">
        <v>11.5</v>
      </c>
      <c r="D2789" s="2">
        <v>2.78</v>
      </c>
      <c r="E2789" s="2">
        <v>0.16</v>
      </c>
      <c r="F2789" s="2">
        <v>49.9</v>
      </c>
      <c r="G2789" s="4">
        <v>44461.072804525465</v>
      </c>
      <c r="H2789" s="8">
        <v>44461.0</v>
      </c>
    </row>
    <row r="2790">
      <c r="A2790" s="2">
        <v>0.29</v>
      </c>
      <c r="B2790" s="2">
        <v>233.7</v>
      </c>
      <c r="C2790" s="2">
        <v>9.1</v>
      </c>
      <c r="D2790" s="2">
        <v>2.78</v>
      </c>
      <c r="E2790" s="2">
        <v>0.13</v>
      </c>
      <c r="F2790" s="2">
        <v>49.9</v>
      </c>
      <c r="G2790" s="4">
        <v>44461.07291564815</v>
      </c>
      <c r="H2790" s="8">
        <v>44461.0</v>
      </c>
    </row>
    <row r="2791">
      <c r="A2791" s="2">
        <v>0.27</v>
      </c>
      <c r="B2791" s="2">
        <v>233.8</v>
      </c>
      <c r="C2791" s="2">
        <v>5.2</v>
      </c>
      <c r="D2791" s="2">
        <v>2.78</v>
      </c>
      <c r="E2791" s="2">
        <v>0.08</v>
      </c>
      <c r="F2791" s="2">
        <v>49.9</v>
      </c>
      <c r="G2791" s="4">
        <v>44461.07302484954</v>
      </c>
      <c r="H2791" s="8">
        <v>44461.0</v>
      </c>
    </row>
    <row r="2792">
      <c r="A2792" s="2">
        <v>0.27</v>
      </c>
      <c r="B2792" s="2">
        <v>233.9</v>
      </c>
      <c r="C2792" s="2">
        <v>4.4</v>
      </c>
      <c r="D2792" s="2">
        <v>2.78</v>
      </c>
      <c r="E2792" s="2">
        <v>0.07</v>
      </c>
      <c r="F2792" s="2">
        <v>50.0</v>
      </c>
      <c r="G2792" s="4">
        <v>44461.073138148146</v>
      </c>
      <c r="H2792" s="8">
        <v>44461.0</v>
      </c>
    </row>
    <row r="2793">
      <c r="A2793" s="2">
        <v>0.27</v>
      </c>
      <c r="B2793" s="2">
        <v>233.9</v>
      </c>
      <c r="C2793" s="2">
        <v>5.5</v>
      </c>
      <c r="D2793" s="2">
        <v>2.78</v>
      </c>
      <c r="E2793" s="2">
        <v>0.09</v>
      </c>
      <c r="F2793" s="2">
        <v>49.9</v>
      </c>
      <c r="G2793" s="4">
        <v>44461.07324736111</v>
      </c>
      <c r="H2793" s="8">
        <v>44461.0</v>
      </c>
    </row>
    <row r="2794">
      <c r="A2794" s="2">
        <v>0.3</v>
      </c>
      <c r="B2794" s="2">
        <v>233.7</v>
      </c>
      <c r="C2794" s="2">
        <v>10.9</v>
      </c>
      <c r="D2794" s="2">
        <v>2.78</v>
      </c>
      <c r="E2794" s="2">
        <v>0.16</v>
      </c>
      <c r="F2794" s="2">
        <v>50.0</v>
      </c>
      <c r="G2794" s="4">
        <v>44461.073359918984</v>
      </c>
      <c r="H2794" s="8">
        <v>44461.0</v>
      </c>
    </row>
    <row r="2795">
      <c r="A2795" s="2">
        <v>0.29</v>
      </c>
      <c r="B2795" s="2">
        <v>233.7</v>
      </c>
      <c r="C2795" s="2">
        <v>9.1</v>
      </c>
      <c r="D2795" s="2">
        <v>2.78</v>
      </c>
      <c r="E2795" s="2">
        <v>0.13</v>
      </c>
      <c r="F2795" s="2">
        <v>50.0</v>
      </c>
      <c r="G2795" s="4">
        <v>44461.07346959491</v>
      </c>
      <c r="H2795" s="8">
        <v>44461.0</v>
      </c>
    </row>
    <row r="2796">
      <c r="A2796" s="2">
        <v>0.27</v>
      </c>
      <c r="B2796" s="2">
        <v>234.1</v>
      </c>
      <c r="C2796" s="2">
        <v>5.0</v>
      </c>
      <c r="D2796" s="2">
        <v>2.78</v>
      </c>
      <c r="E2796" s="2">
        <v>0.08</v>
      </c>
      <c r="F2796" s="2">
        <v>50.0</v>
      </c>
      <c r="G2796" s="4">
        <v>44461.07358039352</v>
      </c>
      <c r="H2796" s="8">
        <v>44461.0</v>
      </c>
    </row>
    <row r="2797">
      <c r="A2797" s="2">
        <v>0.27</v>
      </c>
      <c r="B2797" s="2">
        <v>234.2</v>
      </c>
      <c r="C2797" s="2">
        <v>5.1</v>
      </c>
      <c r="D2797" s="2">
        <v>2.78</v>
      </c>
      <c r="E2797" s="2">
        <v>0.08</v>
      </c>
      <c r="F2797" s="2">
        <v>50.0</v>
      </c>
      <c r="G2797" s="4">
        <v>44461.07369326389</v>
      </c>
      <c r="H2797" s="8">
        <v>44461.0</v>
      </c>
    </row>
    <row r="2798">
      <c r="A2798" s="2">
        <v>0.28</v>
      </c>
      <c r="B2798" s="2">
        <v>235.2</v>
      </c>
      <c r="C2798" s="2">
        <v>6.4</v>
      </c>
      <c r="D2798" s="2">
        <v>2.78</v>
      </c>
      <c r="E2798" s="2">
        <v>0.1</v>
      </c>
      <c r="F2798" s="2">
        <v>50.0</v>
      </c>
      <c r="G2798" s="4">
        <v>44461.07384265046</v>
      </c>
      <c r="H2798" s="8">
        <v>44461.0</v>
      </c>
    </row>
    <row r="2799">
      <c r="A2799" s="2">
        <v>0.28</v>
      </c>
      <c r="B2799" s="2">
        <v>235.1</v>
      </c>
      <c r="C2799" s="2">
        <v>6.4</v>
      </c>
      <c r="D2799" s="2">
        <v>2.78</v>
      </c>
      <c r="E2799" s="2">
        <v>0.1</v>
      </c>
      <c r="F2799" s="2">
        <v>50.0</v>
      </c>
      <c r="G2799" s="4">
        <v>44461.07395697916</v>
      </c>
      <c r="H2799" s="8">
        <v>44461.0</v>
      </c>
    </row>
    <row r="2800">
      <c r="A2800" s="2">
        <v>0.28</v>
      </c>
      <c r="B2800" s="2">
        <v>235.1</v>
      </c>
      <c r="C2800" s="2">
        <v>6.2</v>
      </c>
      <c r="D2800" s="2">
        <v>2.78</v>
      </c>
      <c r="E2800" s="2">
        <v>0.09</v>
      </c>
      <c r="F2800" s="2">
        <v>50.0</v>
      </c>
      <c r="G2800" s="4">
        <v>44461.07406974537</v>
      </c>
      <c r="H2800" s="8">
        <v>44461.0</v>
      </c>
    </row>
    <row r="2801">
      <c r="A2801" s="2">
        <v>0.27</v>
      </c>
      <c r="B2801" s="2">
        <v>235.1</v>
      </c>
      <c r="C2801" s="2">
        <v>4.9</v>
      </c>
      <c r="D2801" s="2">
        <v>2.78</v>
      </c>
      <c r="E2801" s="2">
        <v>0.08</v>
      </c>
      <c r="F2801" s="2">
        <v>50.0</v>
      </c>
      <c r="G2801" s="4">
        <v>44461.07417037037</v>
      </c>
      <c r="H2801" s="8">
        <v>44461.0</v>
      </c>
    </row>
    <row r="2802">
      <c r="A2802" s="2">
        <v>0.27</v>
      </c>
      <c r="B2802" s="2">
        <v>235.0</v>
      </c>
      <c r="C2802" s="2">
        <v>6.0</v>
      </c>
      <c r="D2802" s="2">
        <v>2.78</v>
      </c>
      <c r="E2802" s="2">
        <v>0.09</v>
      </c>
      <c r="F2802" s="2">
        <v>49.9</v>
      </c>
      <c r="G2802" s="4">
        <v>44461.07427604166</v>
      </c>
      <c r="H2802" s="8">
        <v>44461.0</v>
      </c>
    </row>
    <row r="2803">
      <c r="A2803" s="2">
        <v>0.29</v>
      </c>
      <c r="B2803" s="2">
        <v>235.0</v>
      </c>
      <c r="C2803" s="2">
        <v>9.0</v>
      </c>
      <c r="D2803" s="2">
        <v>2.78</v>
      </c>
      <c r="E2803" s="2">
        <v>0.13</v>
      </c>
      <c r="F2803" s="2">
        <v>50.0</v>
      </c>
      <c r="G2803" s="4">
        <v>44461.07438021991</v>
      </c>
      <c r="H2803" s="8">
        <v>44461.0</v>
      </c>
    </row>
    <row r="2804">
      <c r="A2804" s="2">
        <v>0.28</v>
      </c>
      <c r="B2804" s="2">
        <v>235.1</v>
      </c>
      <c r="C2804" s="2">
        <v>5.9</v>
      </c>
      <c r="D2804" s="2">
        <v>2.78</v>
      </c>
      <c r="E2804" s="2">
        <v>0.09</v>
      </c>
      <c r="F2804" s="2">
        <v>50.0</v>
      </c>
      <c r="G2804" s="4">
        <v>44461.07448550926</v>
      </c>
      <c r="H2804" s="8">
        <v>44461.0</v>
      </c>
    </row>
    <row r="2805">
      <c r="A2805" s="2">
        <v>0.27</v>
      </c>
      <c r="B2805" s="2">
        <v>235.1</v>
      </c>
      <c r="C2805" s="2">
        <v>4.8</v>
      </c>
      <c r="D2805" s="2">
        <v>2.78</v>
      </c>
      <c r="E2805" s="2">
        <v>0.08</v>
      </c>
      <c r="F2805" s="2">
        <v>50.0</v>
      </c>
      <c r="G2805" s="4">
        <v>44461.07460033565</v>
      </c>
      <c r="H2805" s="8">
        <v>44461.0</v>
      </c>
    </row>
    <row r="2806">
      <c r="A2806" s="2">
        <v>0.27</v>
      </c>
      <c r="B2806" s="2">
        <v>235.3</v>
      </c>
      <c r="C2806" s="2">
        <v>6.9</v>
      </c>
      <c r="D2806" s="2">
        <v>2.78</v>
      </c>
      <c r="E2806" s="2">
        <v>0.11</v>
      </c>
      <c r="F2806" s="2">
        <v>50.0</v>
      </c>
      <c r="G2806" s="4">
        <v>44461.07469887732</v>
      </c>
      <c r="H2806" s="8">
        <v>44461.0</v>
      </c>
    </row>
    <row r="2807">
      <c r="A2807" s="2">
        <v>0.29</v>
      </c>
      <c r="B2807" s="2">
        <v>235.2</v>
      </c>
      <c r="C2807" s="2">
        <v>10.7</v>
      </c>
      <c r="D2807" s="2">
        <v>2.78</v>
      </c>
      <c r="E2807" s="2">
        <v>0.15</v>
      </c>
      <c r="F2807" s="2">
        <v>50.0</v>
      </c>
      <c r="G2807" s="4">
        <v>44461.07480664352</v>
      </c>
      <c r="H2807" s="8">
        <v>44461.0</v>
      </c>
    </row>
    <row r="2808">
      <c r="A2808" s="2">
        <v>0.28</v>
      </c>
      <c r="B2808" s="2">
        <v>235.2</v>
      </c>
      <c r="C2808" s="2">
        <v>5.7</v>
      </c>
      <c r="D2808" s="2">
        <v>2.78</v>
      </c>
      <c r="E2808" s="2">
        <v>0.09</v>
      </c>
      <c r="F2808" s="2">
        <v>50.0</v>
      </c>
      <c r="G2808" s="4">
        <v>44461.074917569444</v>
      </c>
      <c r="H2808" s="8">
        <v>44461.0</v>
      </c>
    </row>
    <row r="2809">
      <c r="A2809" s="2">
        <v>0.27</v>
      </c>
      <c r="B2809" s="2">
        <v>235.2</v>
      </c>
      <c r="C2809" s="2">
        <v>4.9</v>
      </c>
      <c r="D2809" s="2">
        <v>2.78</v>
      </c>
      <c r="E2809" s="2">
        <v>0.08</v>
      </c>
      <c r="F2809" s="2">
        <v>50.0</v>
      </c>
      <c r="G2809" s="4">
        <v>44461.07502700231</v>
      </c>
      <c r="H2809" s="8">
        <v>44461.0</v>
      </c>
    </row>
    <row r="2810">
      <c r="A2810" s="2">
        <v>0.27</v>
      </c>
      <c r="B2810" s="2">
        <v>235.3</v>
      </c>
      <c r="C2810" s="2">
        <v>3.9</v>
      </c>
      <c r="D2810" s="2">
        <v>2.78</v>
      </c>
      <c r="E2810" s="2">
        <v>0.06</v>
      </c>
      <c r="F2810" s="2">
        <v>50.0</v>
      </c>
      <c r="G2810" s="4">
        <v>44461.07513793981</v>
      </c>
      <c r="H2810" s="8">
        <v>44461.0</v>
      </c>
    </row>
    <row r="2811">
      <c r="A2811" s="2">
        <v>0.27</v>
      </c>
      <c r="B2811" s="2">
        <v>235.2</v>
      </c>
      <c r="C2811" s="2">
        <v>4.9</v>
      </c>
      <c r="D2811" s="2">
        <v>2.78</v>
      </c>
      <c r="E2811" s="2">
        <v>0.08</v>
      </c>
      <c r="F2811" s="2">
        <v>50.0</v>
      </c>
      <c r="G2811" s="4">
        <v>44461.0752421412</v>
      </c>
      <c r="H2811" s="8">
        <v>44461.0</v>
      </c>
    </row>
    <row r="2812">
      <c r="A2812" s="2">
        <v>0.28</v>
      </c>
      <c r="B2812" s="2">
        <v>235.1</v>
      </c>
      <c r="C2812" s="2">
        <v>8.8</v>
      </c>
      <c r="D2812" s="2">
        <v>2.78</v>
      </c>
      <c r="E2812" s="2">
        <v>0.13</v>
      </c>
      <c r="F2812" s="2">
        <v>50.0</v>
      </c>
      <c r="G2812" s="4">
        <v>44461.07534693287</v>
      </c>
      <c r="H2812" s="8">
        <v>44461.0</v>
      </c>
    </row>
    <row r="2813">
      <c r="A2813" s="2">
        <v>0.28</v>
      </c>
      <c r="B2813" s="2">
        <v>235.1</v>
      </c>
      <c r="C2813" s="2">
        <v>6.5</v>
      </c>
      <c r="D2813" s="2">
        <v>2.78</v>
      </c>
      <c r="E2813" s="2">
        <v>0.1</v>
      </c>
      <c r="F2813" s="2">
        <v>50.0</v>
      </c>
      <c r="G2813" s="4">
        <v>44461.075454791666</v>
      </c>
      <c r="H2813" s="8">
        <v>44461.0</v>
      </c>
    </row>
    <row r="2814">
      <c r="A2814" s="2">
        <v>0.27</v>
      </c>
      <c r="B2814" s="2">
        <v>235.1</v>
      </c>
      <c r="C2814" s="2">
        <v>5.5</v>
      </c>
      <c r="D2814" s="2">
        <v>2.78</v>
      </c>
      <c r="E2814" s="2">
        <v>0.09</v>
      </c>
      <c r="F2814" s="2">
        <v>50.0</v>
      </c>
      <c r="G2814" s="4">
        <v>44461.07556938658</v>
      </c>
      <c r="H2814" s="8">
        <v>44461.0</v>
      </c>
    </row>
    <row r="2815">
      <c r="A2815" s="2">
        <v>0.27</v>
      </c>
      <c r="B2815" s="2">
        <v>235.1</v>
      </c>
      <c r="C2815" s="2">
        <v>4.5</v>
      </c>
      <c r="D2815" s="2">
        <v>2.78</v>
      </c>
      <c r="E2815" s="2">
        <v>0.07</v>
      </c>
      <c r="F2815" s="2">
        <v>50.0</v>
      </c>
      <c r="G2815" s="4">
        <v>44461.075673935185</v>
      </c>
      <c r="H2815" s="8">
        <v>44461.0</v>
      </c>
    </row>
    <row r="2816">
      <c r="A2816" s="2">
        <v>0.27</v>
      </c>
      <c r="B2816" s="2">
        <v>235.0</v>
      </c>
      <c r="C2816" s="2">
        <v>4.9</v>
      </c>
      <c r="D2816" s="2">
        <v>2.78</v>
      </c>
      <c r="E2816" s="2">
        <v>0.08</v>
      </c>
      <c r="F2816" s="2">
        <v>50.0</v>
      </c>
      <c r="G2816" s="4">
        <v>44461.075777129634</v>
      </c>
      <c r="H2816" s="8">
        <v>44461.0</v>
      </c>
    </row>
    <row r="2817">
      <c r="A2817" s="2">
        <v>0.28</v>
      </c>
      <c r="B2817" s="2">
        <v>234.9</v>
      </c>
      <c r="C2817" s="2">
        <v>8.9</v>
      </c>
      <c r="D2817" s="2">
        <v>2.78</v>
      </c>
      <c r="E2817" s="2">
        <v>0.13</v>
      </c>
      <c r="F2817" s="2">
        <v>49.9</v>
      </c>
      <c r="G2817" s="4">
        <v>44461.07588314815</v>
      </c>
      <c r="H2817" s="8">
        <v>44461.0</v>
      </c>
    </row>
    <row r="2818">
      <c r="A2818" s="2">
        <v>0.28</v>
      </c>
      <c r="B2818" s="2">
        <v>234.8</v>
      </c>
      <c r="C2818" s="2">
        <v>7.0</v>
      </c>
      <c r="D2818" s="2">
        <v>2.78</v>
      </c>
      <c r="E2818" s="2">
        <v>0.11</v>
      </c>
      <c r="F2818" s="2">
        <v>49.9</v>
      </c>
      <c r="G2818" s="4">
        <v>44461.07598854166</v>
      </c>
      <c r="H2818" s="8">
        <v>44461.0</v>
      </c>
    </row>
    <row r="2819">
      <c r="A2819" s="2">
        <v>0.27</v>
      </c>
      <c r="B2819" s="2">
        <v>234.8</v>
      </c>
      <c r="C2819" s="2">
        <v>5.1</v>
      </c>
      <c r="D2819" s="2">
        <v>2.78</v>
      </c>
      <c r="E2819" s="2">
        <v>0.08</v>
      </c>
      <c r="F2819" s="2">
        <v>49.9</v>
      </c>
      <c r="G2819" s="4">
        <v>44461.07609927084</v>
      </c>
      <c r="H2819" s="8">
        <v>44461.0</v>
      </c>
    </row>
    <row r="2820">
      <c r="A2820" s="2">
        <v>0.28</v>
      </c>
      <c r="B2820" s="2">
        <v>234.8</v>
      </c>
      <c r="C2820" s="2">
        <v>6.1</v>
      </c>
      <c r="D2820" s="2">
        <v>2.78</v>
      </c>
      <c r="E2820" s="2">
        <v>0.09</v>
      </c>
      <c r="F2820" s="2">
        <v>49.9</v>
      </c>
      <c r="G2820" s="4">
        <v>44461.0762340625</v>
      </c>
      <c r="H2820" s="8">
        <v>44461.0</v>
      </c>
    </row>
    <row r="2821">
      <c r="A2821" s="2">
        <v>0.27</v>
      </c>
      <c r="B2821" s="2">
        <v>234.8</v>
      </c>
      <c r="C2821" s="2">
        <v>4.6</v>
      </c>
      <c r="D2821" s="2">
        <v>2.78</v>
      </c>
      <c r="E2821" s="2">
        <v>0.07</v>
      </c>
      <c r="F2821" s="2">
        <v>49.9</v>
      </c>
      <c r="G2821" s="4">
        <v>44461.07633782407</v>
      </c>
      <c r="H2821" s="8">
        <v>44461.0</v>
      </c>
    </row>
    <row r="2822">
      <c r="A2822" s="2">
        <v>0.27</v>
      </c>
      <c r="B2822" s="2">
        <v>234.7</v>
      </c>
      <c r="C2822" s="2">
        <v>4.8</v>
      </c>
      <c r="D2822" s="2">
        <v>2.78</v>
      </c>
      <c r="E2822" s="2">
        <v>0.08</v>
      </c>
      <c r="F2822" s="2">
        <v>50.0</v>
      </c>
      <c r="G2822" s="4">
        <v>44461.076442881946</v>
      </c>
      <c r="H2822" s="8">
        <v>44461.0</v>
      </c>
    </row>
    <row r="2823">
      <c r="A2823" s="2">
        <v>0.28</v>
      </c>
      <c r="B2823" s="2">
        <v>234.7</v>
      </c>
      <c r="C2823" s="2">
        <v>8.7</v>
      </c>
      <c r="D2823" s="2">
        <v>2.78</v>
      </c>
      <c r="E2823" s="2">
        <v>0.13</v>
      </c>
      <c r="F2823" s="2">
        <v>50.0</v>
      </c>
      <c r="G2823" s="4">
        <v>44461.076550729165</v>
      </c>
      <c r="H2823" s="8">
        <v>44461.0</v>
      </c>
    </row>
    <row r="2824">
      <c r="A2824" s="2">
        <v>0.29</v>
      </c>
      <c r="B2824" s="2">
        <v>234.8</v>
      </c>
      <c r="C2824" s="2">
        <v>8.5</v>
      </c>
      <c r="D2824" s="2">
        <v>2.78</v>
      </c>
      <c r="E2824" s="2">
        <v>0.13</v>
      </c>
      <c r="F2824" s="2">
        <v>50.0</v>
      </c>
      <c r="G2824" s="4">
        <v>44461.07666331019</v>
      </c>
      <c r="H2824" s="8">
        <v>44461.0</v>
      </c>
    </row>
    <row r="2825">
      <c r="A2825" s="2">
        <v>0.28</v>
      </c>
      <c r="B2825" s="2">
        <v>234.8</v>
      </c>
      <c r="C2825" s="2">
        <v>6.4</v>
      </c>
      <c r="D2825" s="2">
        <v>2.78</v>
      </c>
      <c r="E2825" s="2">
        <v>0.1</v>
      </c>
      <c r="F2825" s="2">
        <v>50.0</v>
      </c>
      <c r="G2825" s="4">
        <v>44461.07677826389</v>
      </c>
      <c r="H2825" s="8">
        <v>44461.0</v>
      </c>
    </row>
    <row r="2826">
      <c r="A2826" s="2">
        <v>0.28</v>
      </c>
      <c r="B2826" s="2">
        <v>234.9</v>
      </c>
      <c r="C2826" s="2">
        <v>7.4</v>
      </c>
      <c r="D2826" s="2">
        <v>2.78</v>
      </c>
      <c r="E2826" s="2">
        <v>0.11</v>
      </c>
      <c r="F2826" s="2">
        <v>50.0</v>
      </c>
      <c r="G2826" s="4">
        <v>44461.07689174768</v>
      </c>
      <c r="H2826" s="8">
        <v>44461.0</v>
      </c>
    </row>
    <row r="2827">
      <c r="A2827" s="2">
        <v>0.27</v>
      </c>
      <c r="B2827" s="2">
        <v>235.0</v>
      </c>
      <c r="C2827" s="2">
        <v>4.8</v>
      </c>
      <c r="D2827" s="2">
        <v>2.78</v>
      </c>
      <c r="E2827" s="2">
        <v>0.08</v>
      </c>
      <c r="F2827" s="2">
        <v>50.0</v>
      </c>
      <c r="G2827" s="4">
        <v>44461.07700229167</v>
      </c>
      <c r="H2827" s="8">
        <v>44461.0</v>
      </c>
    </row>
    <row r="2828">
      <c r="A2828" s="2">
        <v>0.27</v>
      </c>
      <c r="B2828" s="2">
        <v>235.2</v>
      </c>
      <c r="C2828" s="2">
        <v>4.6</v>
      </c>
      <c r="D2828" s="2">
        <v>2.78</v>
      </c>
      <c r="E2828" s="2">
        <v>0.07</v>
      </c>
      <c r="F2828" s="2">
        <v>50.0</v>
      </c>
      <c r="G2828" s="4">
        <v>44461.077106805555</v>
      </c>
      <c r="H2828" s="8">
        <v>44461.0</v>
      </c>
    </row>
    <row r="2829">
      <c r="A2829" s="2">
        <v>0.27</v>
      </c>
      <c r="B2829" s="2">
        <v>235.1</v>
      </c>
      <c r="C2829" s="2">
        <v>6.1</v>
      </c>
      <c r="D2829" s="2">
        <v>2.78</v>
      </c>
      <c r="E2829" s="2">
        <v>0.1</v>
      </c>
      <c r="F2829" s="2">
        <v>50.0</v>
      </c>
      <c r="G2829" s="4">
        <v>44461.07721207176</v>
      </c>
      <c r="H2829" s="8">
        <v>44461.0</v>
      </c>
    </row>
    <row r="2830">
      <c r="A2830" s="2">
        <v>0.27</v>
      </c>
      <c r="B2830" s="2">
        <v>235.1</v>
      </c>
      <c r="C2830" s="2">
        <v>5.0</v>
      </c>
      <c r="D2830" s="2">
        <v>2.78</v>
      </c>
      <c r="E2830" s="2">
        <v>0.08</v>
      </c>
      <c r="F2830" s="2">
        <v>50.0</v>
      </c>
      <c r="G2830" s="4">
        <v>44461.077315625</v>
      </c>
      <c r="H2830" s="8">
        <v>44461.0</v>
      </c>
    </row>
    <row r="2831">
      <c r="A2831" s="2">
        <v>0.27</v>
      </c>
      <c r="B2831" s="2">
        <v>235.0</v>
      </c>
      <c r="C2831" s="2">
        <v>4.7</v>
      </c>
      <c r="D2831" s="2">
        <v>2.78</v>
      </c>
      <c r="E2831" s="2">
        <v>0.07</v>
      </c>
      <c r="F2831" s="2">
        <v>50.0</v>
      </c>
      <c r="G2831" s="4">
        <v>44461.077418298606</v>
      </c>
      <c r="H2831" s="8">
        <v>44461.0</v>
      </c>
    </row>
    <row r="2832">
      <c r="A2832" s="2">
        <v>0.27</v>
      </c>
      <c r="B2832" s="2">
        <v>235.0</v>
      </c>
      <c r="C2832" s="2">
        <v>4.1</v>
      </c>
      <c r="D2832" s="2">
        <v>2.78</v>
      </c>
      <c r="E2832" s="2">
        <v>0.07</v>
      </c>
      <c r="F2832" s="2">
        <v>49.9</v>
      </c>
      <c r="G2832" s="4">
        <v>44461.077528449074</v>
      </c>
      <c r="H2832" s="8">
        <v>44461.0</v>
      </c>
    </row>
    <row r="2833">
      <c r="A2833" s="2">
        <v>0.28</v>
      </c>
      <c r="B2833" s="2">
        <v>235.0</v>
      </c>
      <c r="C2833" s="2">
        <v>8.8</v>
      </c>
      <c r="D2833" s="2">
        <v>2.78</v>
      </c>
      <c r="E2833" s="2">
        <v>0.13</v>
      </c>
      <c r="F2833" s="2">
        <v>49.9</v>
      </c>
      <c r="G2833" s="4">
        <v>44461.07763421297</v>
      </c>
      <c r="H2833" s="8">
        <v>44461.0</v>
      </c>
    </row>
    <row r="2834">
      <c r="A2834" s="2">
        <v>0.28</v>
      </c>
      <c r="B2834" s="2">
        <v>235.1</v>
      </c>
      <c r="C2834" s="2">
        <v>7.1</v>
      </c>
      <c r="D2834" s="2">
        <v>2.78</v>
      </c>
      <c r="E2834" s="2">
        <v>0.11</v>
      </c>
      <c r="F2834" s="2">
        <v>49.9</v>
      </c>
      <c r="G2834" s="4">
        <v>44461.077755439816</v>
      </c>
      <c r="H2834" s="8">
        <v>44461.0</v>
      </c>
    </row>
    <row r="2835">
      <c r="A2835" s="2">
        <v>0.28</v>
      </c>
      <c r="B2835" s="2">
        <v>234.2</v>
      </c>
      <c r="C2835" s="2">
        <v>8.9</v>
      </c>
      <c r="D2835" s="2">
        <v>2.78</v>
      </c>
      <c r="E2835" s="2">
        <v>0.13</v>
      </c>
      <c r="F2835" s="2">
        <v>49.9</v>
      </c>
      <c r="G2835" s="4">
        <v>44461.077865520834</v>
      </c>
      <c r="H2835" s="8">
        <v>44461.0</v>
      </c>
    </row>
    <row r="2836">
      <c r="A2836" s="2">
        <v>0.29</v>
      </c>
      <c r="B2836" s="2">
        <v>233.9</v>
      </c>
      <c r="C2836" s="2">
        <v>8.7</v>
      </c>
      <c r="D2836" s="2">
        <v>2.78</v>
      </c>
      <c r="E2836" s="2">
        <v>0.13</v>
      </c>
      <c r="F2836" s="2">
        <v>50.0</v>
      </c>
      <c r="G2836" s="4">
        <v>44461.077972847226</v>
      </c>
      <c r="H2836" s="8">
        <v>44461.0</v>
      </c>
    </row>
    <row r="2837">
      <c r="A2837" s="2">
        <v>0.27</v>
      </c>
      <c r="B2837" s="2">
        <v>233.9</v>
      </c>
      <c r="C2837" s="2">
        <v>5.4</v>
      </c>
      <c r="D2837" s="2">
        <v>2.78</v>
      </c>
      <c r="E2837" s="2">
        <v>0.09</v>
      </c>
      <c r="F2837" s="2">
        <v>50.0</v>
      </c>
      <c r="G2837" s="4">
        <v>44461.07807483796</v>
      </c>
      <c r="H2837" s="8">
        <v>44461.0</v>
      </c>
    </row>
    <row r="2838">
      <c r="A2838" s="2">
        <v>0.27</v>
      </c>
      <c r="B2838" s="2">
        <v>234.0</v>
      </c>
      <c r="C2838" s="2">
        <v>4.2</v>
      </c>
      <c r="D2838" s="2">
        <v>2.78</v>
      </c>
      <c r="E2838" s="2">
        <v>0.07</v>
      </c>
      <c r="F2838" s="2">
        <v>49.9</v>
      </c>
      <c r="G2838" s="4">
        <v>44461.07817525463</v>
      </c>
      <c r="H2838" s="8">
        <v>44461.0</v>
      </c>
    </row>
    <row r="2839">
      <c r="A2839" s="2">
        <v>0.29</v>
      </c>
      <c r="B2839" s="2">
        <v>234.1</v>
      </c>
      <c r="C2839" s="2">
        <v>11.4</v>
      </c>
      <c r="D2839" s="2">
        <v>2.78</v>
      </c>
      <c r="E2839" s="2">
        <v>0.17</v>
      </c>
      <c r="F2839" s="2">
        <v>49.9</v>
      </c>
      <c r="G2839" s="4">
        <v>44461.07828259259</v>
      </c>
      <c r="H2839" s="8">
        <v>44461.0</v>
      </c>
    </row>
    <row r="2840">
      <c r="A2840" s="2">
        <v>0.3</v>
      </c>
      <c r="B2840" s="2">
        <v>234.2</v>
      </c>
      <c r="C2840" s="2">
        <v>10.7</v>
      </c>
      <c r="D2840" s="2">
        <v>2.78</v>
      </c>
      <c r="E2840" s="2">
        <v>0.15</v>
      </c>
      <c r="F2840" s="2">
        <v>50.0</v>
      </c>
      <c r="G2840" s="4">
        <v>44461.07840221065</v>
      </c>
      <c r="H2840" s="8">
        <v>44461.0</v>
      </c>
    </row>
    <row r="2841">
      <c r="A2841" s="2">
        <v>0.28</v>
      </c>
      <c r="B2841" s="2">
        <v>234.3</v>
      </c>
      <c r="C2841" s="2">
        <v>5.9</v>
      </c>
      <c r="D2841" s="2">
        <v>2.78</v>
      </c>
      <c r="E2841" s="2">
        <v>0.09</v>
      </c>
      <c r="F2841" s="2">
        <v>50.0</v>
      </c>
      <c r="G2841" s="4">
        <v>44461.078507048616</v>
      </c>
      <c r="H2841" s="8">
        <v>44461.0</v>
      </c>
    </row>
    <row r="2842">
      <c r="A2842" s="2">
        <v>0.27</v>
      </c>
      <c r="B2842" s="2">
        <v>234.4</v>
      </c>
      <c r="C2842" s="2">
        <v>4.5</v>
      </c>
      <c r="D2842" s="2">
        <v>2.78</v>
      </c>
      <c r="E2842" s="2">
        <v>0.07</v>
      </c>
      <c r="F2842" s="2">
        <v>50.0</v>
      </c>
      <c r="G2842" s="4">
        <v>44461.078615983795</v>
      </c>
      <c r="H2842" s="8">
        <v>44461.0</v>
      </c>
    </row>
    <row r="2843">
      <c r="A2843" s="2">
        <v>0.27</v>
      </c>
      <c r="B2843" s="2">
        <v>234.4</v>
      </c>
      <c r="C2843" s="2">
        <v>5.6</v>
      </c>
      <c r="D2843" s="2">
        <v>2.78</v>
      </c>
      <c r="E2843" s="2">
        <v>0.09</v>
      </c>
      <c r="F2843" s="2">
        <v>50.0</v>
      </c>
      <c r="G2843" s="4">
        <v>44461.07872667824</v>
      </c>
      <c r="H2843" s="8">
        <v>44461.0</v>
      </c>
    </row>
    <row r="2844">
      <c r="A2844" s="2">
        <v>0.26</v>
      </c>
      <c r="B2844" s="2">
        <v>234.4</v>
      </c>
      <c r="C2844" s="2">
        <v>3.9</v>
      </c>
      <c r="D2844" s="2">
        <v>2.78</v>
      </c>
      <c r="E2844" s="2">
        <v>0.06</v>
      </c>
      <c r="F2844" s="2">
        <v>50.0</v>
      </c>
      <c r="G2844" s="4">
        <v>44461.0788290625</v>
      </c>
      <c r="H2844" s="8">
        <v>44461.0</v>
      </c>
    </row>
    <row r="2845">
      <c r="A2845" s="2">
        <v>0.3</v>
      </c>
      <c r="B2845" s="2">
        <v>234.4</v>
      </c>
      <c r="C2845" s="2">
        <v>11.3</v>
      </c>
      <c r="D2845" s="2">
        <v>2.78</v>
      </c>
      <c r="E2845" s="2">
        <v>0.16</v>
      </c>
      <c r="F2845" s="2">
        <v>50.0</v>
      </c>
      <c r="G2845" s="4">
        <v>44461.07893373843</v>
      </c>
      <c r="H2845" s="8">
        <v>44461.0</v>
      </c>
    </row>
    <row r="2846">
      <c r="A2846" s="2">
        <v>0.28</v>
      </c>
      <c r="B2846" s="2">
        <v>234.4</v>
      </c>
      <c r="C2846" s="2">
        <v>7.3</v>
      </c>
      <c r="D2846" s="2">
        <v>2.78</v>
      </c>
      <c r="E2846" s="2">
        <v>0.11</v>
      </c>
      <c r="F2846" s="2">
        <v>50.0</v>
      </c>
      <c r="G2846" s="4">
        <v>44461.07909453704</v>
      </c>
      <c r="H2846" s="8">
        <v>44461.0</v>
      </c>
    </row>
    <row r="2847">
      <c r="A2847" s="2">
        <v>0.27</v>
      </c>
      <c r="B2847" s="2">
        <v>234.3</v>
      </c>
      <c r="C2847" s="2">
        <v>4.8</v>
      </c>
      <c r="D2847" s="2">
        <v>2.78</v>
      </c>
      <c r="E2847" s="2">
        <v>0.08</v>
      </c>
      <c r="F2847" s="2">
        <v>50.0</v>
      </c>
      <c r="G2847" s="4">
        <v>44461.079199942134</v>
      </c>
      <c r="H2847" s="8">
        <v>44461.0</v>
      </c>
    </row>
    <row r="2848">
      <c r="A2848" s="2">
        <v>0.27</v>
      </c>
      <c r="B2848" s="2">
        <v>234.2</v>
      </c>
      <c r="C2848" s="2">
        <v>4.7</v>
      </c>
      <c r="D2848" s="2">
        <v>2.78</v>
      </c>
      <c r="E2848" s="2">
        <v>0.07</v>
      </c>
      <c r="F2848" s="2">
        <v>50.0</v>
      </c>
      <c r="G2848" s="4">
        <v>44461.07930795139</v>
      </c>
      <c r="H2848" s="8">
        <v>44461.0</v>
      </c>
    </row>
    <row r="2849">
      <c r="A2849" s="2">
        <v>0.28</v>
      </c>
      <c r="B2849" s="2">
        <v>234.1</v>
      </c>
      <c r="C2849" s="2">
        <v>8.1</v>
      </c>
      <c r="D2849" s="2">
        <v>2.78</v>
      </c>
      <c r="E2849" s="2">
        <v>0.12</v>
      </c>
      <c r="F2849" s="2">
        <v>50.0</v>
      </c>
      <c r="G2849" s="4">
        <v>44461.07940918981</v>
      </c>
      <c r="H2849" s="8">
        <v>44461.0</v>
      </c>
    </row>
    <row r="2850">
      <c r="A2850" s="2">
        <v>0.29</v>
      </c>
      <c r="B2850" s="2">
        <v>234.1</v>
      </c>
      <c r="C2850" s="2">
        <v>8.2</v>
      </c>
      <c r="D2850" s="2">
        <v>2.78</v>
      </c>
      <c r="E2850" s="2">
        <v>0.12</v>
      </c>
      <c r="F2850" s="2">
        <v>49.9</v>
      </c>
      <c r="G2850" s="4">
        <v>44461.079518530096</v>
      </c>
      <c r="H2850" s="8">
        <v>44461.0</v>
      </c>
    </row>
    <row r="2851">
      <c r="A2851" s="2">
        <v>0.29</v>
      </c>
      <c r="B2851" s="2">
        <v>234.0</v>
      </c>
      <c r="C2851" s="2">
        <v>9.3</v>
      </c>
      <c r="D2851" s="2">
        <v>2.78</v>
      </c>
      <c r="E2851" s="2">
        <v>0.14</v>
      </c>
      <c r="F2851" s="2">
        <v>49.9</v>
      </c>
      <c r="G2851" s="4">
        <v>44461.07962914352</v>
      </c>
      <c r="H2851" s="8">
        <v>44461.0</v>
      </c>
    </row>
    <row r="2852">
      <c r="A2852" s="2">
        <v>0.27</v>
      </c>
      <c r="B2852" s="2">
        <v>234.0</v>
      </c>
      <c r="C2852" s="2">
        <v>5.4</v>
      </c>
      <c r="D2852" s="2">
        <v>2.78</v>
      </c>
      <c r="E2852" s="2">
        <v>0.08</v>
      </c>
      <c r="F2852" s="2">
        <v>49.9</v>
      </c>
      <c r="G2852" s="4">
        <v>44461.07973814815</v>
      </c>
      <c r="H2852" s="8">
        <v>44461.0</v>
      </c>
    </row>
    <row r="2853">
      <c r="A2853" s="2">
        <v>0.27</v>
      </c>
      <c r="B2853" s="2">
        <v>233.9</v>
      </c>
      <c r="C2853" s="2">
        <v>5.2</v>
      </c>
      <c r="D2853" s="2">
        <v>2.78</v>
      </c>
      <c r="E2853" s="2">
        <v>0.08</v>
      </c>
      <c r="F2853" s="2">
        <v>49.9</v>
      </c>
      <c r="G2853" s="4">
        <v>44461.07984265046</v>
      </c>
      <c r="H2853" s="8">
        <v>44461.0</v>
      </c>
    </row>
    <row r="2854">
      <c r="A2854" s="2">
        <v>0.27</v>
      </c>
      <c r="B2854" s="2">
        <v>233.9</v>
      </c>
      <c r="C2854" s="2">
        <v>4.3</v>
      </c>
      <c r="D2854" s="2">
        <v>2.78</v>
      </c>
      <c r="E2854" s="2">
        <v>0.07</v>
      </c>
      <c r="F2854" s="2">
        <v>49.9</v>
      </c>
      <c r="G2854" s="4">
        <v>44461.07995969907</v>
      </c>
      <c r="H2854" s="8">
        <v>44461.0</v>
      </c>
    </row>
    <row r="2855">
      <c r="A2855" s="2">
        <v>0.27</v>
      </c>
      <c r="B2855" s="2">
        <v>233.8</v>
      </c>
      <c r="C2855" s="2">
        <v>4.7</v>
      </c>
      <c r="D2855" s="2">
        <v>2.78</v>
      </c>
      <c r="E2855" s="2">
        <v>0.08</v>
      </c>
      <c r="F2855" s="2">
        <v>49.9</v>
      </c>
      <c r="G2855" s="4">
        <v>44461.08006680556</v>
      </c>
      <c r="H2855" s="8">
        <v>44461.0</v>
      </c>
    </row>
    <row r="2856">
      <c r="A2856" s="2">
        <v>0.27</v>
      </c>
      <c r="B2856" s="2">
        <v>234.0</v>
      </c>
      <c r="C2856" s="2">
        <v>4.3</v>
      </c>
      <c r="D2856" s="2">
        <v>2.78</v>
      </c>
      <c r="E2856" s="2">
        <v>0.07</v>
      </c>
      <c r="F2856" s="2">
        <v>50.0</v>
      </c>
      <c r="G2856" s="4">
        <v>44461.08017594907</v>
      </c>
      <c r="H2856" s="8">
        <v>44461.0</v>
      </c>
    </row>
    <row r="2857">
      <c r="A2857" s="2">
        <v>0.28</v>
      </c>
      <c r="B2857" s="2">
        <v>234.1</v>
      </c>
      <c r="C2857" s="2">
        <v>7.9</v>
      </c>
      <c r="D2857" s="2">
        <v>2.78</v>
      </c>
      <c r="E2857" s="2">
        <v>0.12</v>
      </c>
      <c r="F2857" s="2">
        <v>50.0</v>
      </c>
      <c r="G2857" s="4">
        <v>44461.08028376158</v>
      </c>
      <c r="H2857" s="8">
        <v>44461.0</v>
      </c>
    </row>
    <row r="2858">
      <c r="A2858" s="2">
        <v>0.29</v>
      </c>
      <c r="B2858" s="2">
        <v>234.1</v>
      </c>
      <c r="C2858" s="2">
        <v>8.9</v>
      </c>
      <c r="D2858" s="2">
        <v>2.78</v>
      </c>
      <c r="E2858" s="2">
        <v>0.13</v>
      </c>
      <c r="F2858" s="2">
        <v>50.0</v>
      </c>
      <c r="G2858" s="4">
        <v>44461.080392812495</v>
      </c>
      <c r="H2858" s="8">
        <v>44461.0</v>
      </c>
    </row>
    <row r="2859">
      <c r="A2859" s="2">
        <v>0.27</v>
      </c>
      <c r="B2859" s="2">
        <v>234.2</v>
      </c>
      <c r="C2859" s="2">
        <v>4.8</v>
      </c>
      <c r="D2859" s="2">
        <v>2.78</v>
      </c>
      <c r="E2859" s="2">
        <v>0.08</v>
      </c>
      <c r="F2859" s="2">
        <v>50.0</v>
      </c>
      <c r="G2859" s="4">
        <v>44461.08049943287</v>
      </c>
      <c r="H2859" s="8">
        <v>44461.0</v>
      </c>
    </row>
    <row r="2860">
      <c r="A2860" s="2">
        <v>0.26</v>
      </c>
      <c r="B2860" s="2">
        <v>234.2</v>
      </c>
      <c r="C2860" s="2">
        <v>3.9</v>
      </c>
      <c r="D2860" s="2">
        <v>2.78</v>
      </c>
      <c r="E2860" s="2">
        <v>0.06</v>
      </c>
      <c r="F2860" s="2">
        <v>50.0</v>
      </c>
      <c r="G2860" s="4">
        <v>44461.08060598379</v>
      </c>
      <c r="H2860" s="8">
        <v>44461.0</v>
      </c>
    </row>
    <row r="2861">
      <c r="A2861" s="2">
        <v>0.27</v>
      </c>
      <c r="B2861" s="2">
        <v>234.4</v>
      </c>
      <c r="C2861" s="2">
        <v>5.4</v>
      </c>
      <c r="D2861" s="2">
        <v>2.78</v>
      </c>
      <c r="E2861" s="2">
        <v>0.09</v>
      </c>
      <c r="F2861" s="2">
        <v>50.0</v>
      </c>
      <c r="G2861" s="4">
        <v>44461.080710925926</v>
      </c>
      <c r="H2861" s="8">
        <v>44461.0</v>
      </c>
    </row>
    <row r="2862">
      <c r="A2862" s="2">
        <v>0.28</v>
      </c>
      <c r="B2862" s="2">
        <v>234.5</v>
      </c>
      <c r="C2862" s="2">
        <v>8.1</v>
      </c>
      <c r="D2862" s="2">
        <v>2.78</v>
      </c>
      <c r="E2862" s="2">
        <v>0.12</v>
      </c>
      <c r="F2862" s="2">
        <v>50.0</v>
      </c>
      <c r="G2862" s="4">
        <v>44461.08081554398</v>
      </c>
      <c r="H2862" s="8">
        <v>44461.0</v>
      </c>
    </row>
    <row r="2863">
      <c r="A2863" s="2">
        <v>0.3</v>
      </c>
      <c r="B2863" s="2">
        <v>234.4</v>
      </c>
      <c r="C2863" s="2">
        <v>11.2</v>
      </c>
      <c r="D2863" s="2">
        <v>2.78</v>
      </c>
      <c r="E2863" s="2">
        <v>0.16</v>
      </c>
      <c r="F2863" s="2">
        <v>50.0</v>
      </c>
      <c r="G2863" s="4">
        <v>44461.08092010417</v>
      </c>
      <c r="H2863" s="8">
        <v>44461.0</v>
      </c>
    </row>
    <row r="2864">
      <c r="A2864" s="2">
        <v>0.27</v>
      </c>
      <c r="B2864" s="2">
        <v>234.4</v>
      </c>
      <c r="C2864" s="2">
        <v>5.4</v>
      </c>
      <c r="D2864" s="2">
        <v>2.78</v>
      </c>
      <c r="E2864" s="2">
        <v>0.08</v>
      </c>
      <c r="F2864" s="2">
        <v>50.0</v>
      </c>
      <c r="G2864" s="4">
        <v>44461.081022557875</v>
      </c>
      <c r="H2864" s="8">
        <v>44461.0</v>
      </c>
    </row>
    <row r="2865">
      <c r="A2865" s="2">
        <v>0.27</v>
      </c>
      <c r="B2865" s="2">
        <v>234.5</v>
      </c>
      <c r="C2865" s="2">
        <v>5.4</v>
      </c>
      <c r="D2865" s="2">
        <v>2.78</v>
      </c>
      <c r="E2865" s="2">
        <v>0.08</v>
      </c>
      <c r="F2865" s="2">
        <v>50.0</v>
      </c>
      <c r="G2865" s="4">
        <v>44461.08112520834</v>
      </c>
      <c r="H2865" s="8">
        <v>44461.0</v>
      </c>
    </row>
    <row r="2866">
      <c r="A2866" s="2">
        <v>0.27</v>
      </c>
      <c r="B2866" s="2">
        <v>234.3</v>
      </c>
      <c r="C2866" s="2">
        <v>5.2</v>
      </c>
      <c r="D2866" s="2">
        <v>2.78</v>
      </c>
      <c r="E2866" s="2">
        <v>0.08</v>
      </c>
      <c r="F2866" s="2">
        <v>50.0</v>
      </c>
      <c r="G2866" s="4">
        <v>44461.08122861111</v>
      </c>
      <c r="H2866" s="8">
        <v>44461.0</v>
      </c>
    </row>
    <row r="2867">
      <c r="A2867" s="2">
        <v>0.29</v>
      </c>
      <c r="B2867" s="2">
        <v>234.2</v>
      </c>
      <c r="C2867" s="2">
        <v>9.8</v>
      </c>
      <c r="D2867" s="2">
        <v>2.78</v>
      </c>
      <c r="E2867" s="2">
        <v>0.14</v>
      </c>
      <c r="F2867" s="2">
        <v>50.0</v>
      </c>
      <c r="G2867" s="4">
        <v>44461.081336030096</v>
      </c>
      <c r="H2867" s="8">
        <v>44461.0</v>
      </c>
    </row>
    <row r="2868">
      <c r="A2868" s="2">
        <v>0.28</v>
      </c>
      <c r="B2868" s="2">
        <v>234.1</v>
      </c>
      <c r="C2868" s="2">
        <v>6.0</v>
      </c>
      <c r="D2868" s="2">
        <v>2.78</v>
      </c>
      <c r="E2868" s="2">
        <v>0.09</v>
      </c>
      <c r="F2868" s="2">
        <v>49.9</v>
      </c>
      <c r="G2868" s="4">
        <v>44461.081445752316</v>
      </c>
      <c r="H2868" s="8">
        <v>44461.0</v>
      </c>
    </row>
    <row r="2869">
      <c r="A2869" s="2">
        <v>0.27</v>
      </c>
      <c r="B2869" s="2">
        <v>234.2</v>
      </c>
      <c r="C2869" s="2">
        <v>4.8</v>
      </c>
      <c r="D2869" s="2">
        <v>2.78</v>
      </c>
      <c r="E2869" s="2">
        <v>0.08</v>
      </c>
      <c r="F2869" s="2">
        <v>49.9</v>
      </c>
      <c r="G2869" s="4">
        <v>44461.08154300926</v>
      </c>
      <c r="H2869" s="8">
        <v>44461.0</v>
      </c>
    </row>
    <row r="2870">
      <c r="A2870" s="2">
        <v>0.27</v>
      </c>
      <c r="B2870" s="2">
        <v>234.1</v>
      </c>
      <c r="C2870" s="2">
        <v>4.6</v>
      </c>
      <c r="D2870" s="2">
        <v>2.78</v>
      </c>
      <c r="E2870" s="2">
        <v>0.07</v>
      </c>
      <c r="F2870" s="2">
        <v>49.9</v>
      </c>
      <c r="G2870" s="4">
        <v>44461.08164857639</v>
      </c>
      <c r="H2870" s="8">
        <v>44461.0</v>
      </c>
    </row>
    <row r="2871">
      <c r="A2871" s="2">
        <v>0.28</v>
      </c>
      <c r="B2871" s="2">
        <v>234.1</v>
      </c>
      <c r="C2871" s="2">
        <v>9.3</v>
      </c>
      <c r="D2871" s="2">
        <v>2.78</v>
      </c>
      <c r="E2871" s="2">
        <v>0.14</v>
      </c>
      <c r="F2871" s="2">
        <v>49.9</v>
      </c>
      <c r="G2871" s="4">
        <v>44461.08175791666</v>
      </c>
      <c r="H2871" s="8">
        <v>44461.0</v>
      </c>
    </row>
    <row r="2872">
      <c r="A2872" s="2">
        <v>0.27</v>
      </c>
      <c r="B2872" s="2">
        <v>234.1</v>
      </c>
      <c r="C2872" s="2">
        <v>6.9</v>
      </c>
      <c r="D2872" s="2">
        <v>2.78</v>
      </c>
      <c r="E2872" s="2">
        <v>0.11</v>
      </c>
      <c r="F2872" s="2">
        <v>49.9</v>
      </c>
      <c r="G2872" s="4">
        <v>44461.08186929398</v>
      </c>
      <c r="H2872" s="8">
        <v>44461.0</v>
      </c>
    </row>
    <row r="2873">
      <c r="A2873" s="2">
        <v>0.29</v>
      </c>
      <c r="B2873" s="2">
        <v>234.1</v>
      </c>
      <c r="C2873" s="2">
        <v>9.3</v>
      </c>
      <c r="D2873" s="2">
        <v>2.78</v>
      </c>
      <c r="E2873" s="2">
        <v>0.14</v>
      </c>
      <c r="F2873" s="2">
        <v>50.0</v>
      </c>
      <c r="G2873" s="4">
        <v>44461.08197921296</v>
      </c>
      <c r="H2873" s="8">
        <v>44461.0</v>
      </c>
    </row>
    <row r="2874">
      <c r="A2874" s="2">
        <v>0.27</v>
      </c>
      <c r="B2874" s="2">
        <v>234.2</v>
      </c>
      <c r="C2874" s="2">
        <v>6.0</v>
      </c>
      <c r="D2874" s="2">
        <v>2.78</v>
      </c>
      <c r="E2874" s="2">
        <v>0.09</v>
      </c>
      <c r="F2874" s="2">
        <v>49.9</v>
      </c>
      <c r="G2874" s="4">
        <v>44461.08208733796</v>
      </c>
      <c r="H2874" s="8">
        <v>44461.0</v>
      </c>
    </row>
    <row r="2875">
      <c r="A2875" s="2">
        <v>0.28</v>
      </c>
      <c r="B2875" s="2">
        <v>234.2</v>
      </c>
      <c r="C2875" s="2">
        <v>6.7</v>
      </c>
      <c r="D2875" s="2">
        <v>2.78</v>
      </c>
      <c r="E2875" s="2">
        <v>0.1</v>
      </c>
      <c r="F2875" s="2">
        <v>50.0</v>
      </c>
      <c r="G2875" s="4">
        <v>44461.08219690972</v>
      </c>
      <c r="H2875" s="8">
        <v>44461.0</v>
      </c>
    </row>
    <row r="2876">
      <c r="A2876" s="2">
        <v>0.28</v>
      </c>
      <c r="B2876" s="2">
        <v>234.3</v>
      </c>
      <c r="C2876" s="2">
        <v>7.2</v>
      </c>
      <c r="D2876" s="2">
        <v>2.78</v>
      </c>
      <c r="E2876" s="2">
        <v>0.11</v>
      </c>
      <c r="F2876" s="2">
        <v>50.0</v>
      </c>
      <c r="G2876" s="4">
        <v>44461.08238788194</v>
      </c>
      <c r="H2876" s="8">
        <v>44461.0</v>
      </c>
    </row>
    <row r="2877">
      <c r="A2877" s="2">
        <v>0.28</v>
      </c>
      <c r="B2877" s="2">
        <v>234.4</v>
      </c>
      <c r="C2877" s="2">
        <v>6.3</v>
      </c>
      <c r="D2877" s="2">
        <v>2.78</v>
      </c>
      <c r="E2877" s="2">
        <v>0.1</v>
      </c>
      <c r="F2877" s="2">
        <v>50.0</v>
      </c>
      <c r="G2877" s="4">
        <v>44461.08249739584</v>
      </c>
      <c r="H2877" s="8">
        <v>44461.0</v>
      </c>
    </row>
    <row r="2878">
      <c r="A2878" s="2">
        <v>0.27</v>
      </c>
      <c r="B2878" s="2">
        <v>234.3</v>
      </c>
      <c r="C2878" s="2">
        <v>4.9</v>
      </c>
      <c r="D2878" s="2">
        <v>2.78</v>
      </c>
      <c r="E2878" s="2">
        <v>0.08</v>
      </c>
      <c r="F2878" s="2">
        <v>50.0</v>
      </c>
      <c r="G2878" s="4">
        <v>44461.08260388889</v>
      </c>
      <c r="H2878" s="8">
        <v>44461.0</v>
      </c>
    </row>
    <row r="2879">
      <c r="A2879" s="2">
        <v>0.27</v>
      </c>
      <c r="B2879" s="2">
        <v>234.3</v>
      </c>
      <c r="C2879" s="2">
        <v>4.4</v>
      </c>
      <c r="D2879" s="2">
        <v>2.78</v>
      </c>
      <c r="E2879" s="2">
        <v>0.07</v>
      </c>
      <c r="F2879" s="2">
        <v>50.0</v>
      </c>
      <c r="G2879" s="4">
        <v>44461.08272395833</v>
      </c>
      <c r="H2879" s="8">
        <v>44461.0</v>
      </c>
    </row>
    <row r="2880">
      <c r="A2880" s="2">
        <v>0.27</v>
      </c>
      <c r="B2880" s="2">
        <v>234.3</v>
      </c>
      <c r="C2880" s="2">
        <v>4.7</v>
      </c>
      <c r="D2880" s="2">
        <v>2.78</v>
      </c>
      <c r="E2880" s="2">
        <v>0.07</v>
      </c>
      <c r="F2880" s="2">
        <v>50.0</v>
      </c>
      <c r="G2880" s="4">
        <v>44461.08283165509</v>
      </c>
      <c r="H2880" s="8">
        <v>44461.0</v>
      </c>
    </row>
    <row r="2881">
      <c r="A2881" s="2">
        <v>0.27</v>
      </c>
      <c r="B2881" s="2">
        <v>234.1</v>
      </c>
      <c r="C2881" s="2">
        <v>5.2</v>
      </c>
      <c r="D2881" s="2">
        <v>2.78</v>
      </c>
      <c r="E2881" s="2">
        <v>0.08</v>
      </c>
      <c r="F2881" s="2">
        <v>50.0</v>
      </c>
      <c r="G2881" s="4">
        <v>44461.08293524306</v>
      </c>
      <c r="H2881" s="8">
        <v>44461.0</v>
      </c>
    </row>
    <row r="2882">
      <c r="A2882" s="2">
        <v>0.29</v>
      </c>
      <c r="B2882" s="2">
        <v>234.1</v>
      </c>
      <c r="C2882" s="2">
        <v>10.0</v>
      </c>
      <c r="D2882" s="2">
        <v>2.78</v>
      </c>
      <c r="E2882" s="2">
        <v>0.15</v>
      </c>
      <c r="F2882" s="2">
        <v>50.0</v>
      </c>
      <c r="G2882" s="4">
        <v>44461.083037986115</v>
      </c>
      <c r="H2882" s="8">
        <v>44461.0</v>
      </c>
    </row>
    <row r="2883">
      <c r="A2883" s="2">
        <v>0.29</v>
      </c>
      <c r="B2883" s="2">
        <v>234.1</v>
      </c>
      <c r="C2883" s="2">
        <v>9.2</v>
      </c>
      <c r="D2883" s="2">
        <v>2.78</v>
      </c>
      <c r="E2883" s="2">
        <v>0.14</v>
      </c>
      <c r="F2883" s="2">
        <v>50.0</v>
      </c>
      <c r="G2883" s="4">
        <v>44461.083142337964</v>
      </c>
      <c r="H2883" s="8">
        <v>44461.0</v>
      </c>
    </row>
    <row r="2884">
      <c r="A2884" s="2">
        <v>0.27</v>
      </c>
      <c r="B2884" s="2">
        <v>234.1</v>
      </c>
      <c r="C2884" s="2">
        <v>5.1</v>
      </c>
      <c r="D2884" s="2">
        <v>2.78</v>
      </c>
      <c r="E2884" s="2">
        <v>0.08</v>
      </c>
      <c r="F2884" s="2">
        <v>50.0</v>
      </c>
      <c r="G2884" s="4">
        <v>44461.083253715275</v>
      </c>
      <c r="H2884" s="8">
        <v>44461.0</v>
      </c>
    </row>
    <row r="2885">
      <c r="A2885" s="2">
        <v>0.27</v>
      </c>
      <c r="B2885" s="2">
        <v>234.0</v>
      </c>
      <c r="C2885" s="2">
        <v>5.5</v>
      </c>
      <c r="D2885" s="2">
        <v>2.78</v>
      </c>
      <c r="E2885" s="2">
        <v>0.09</v>
      </c>
      <c r="F2885" s="2">
        <v>49.9</v>
      </c>
      <c r="G2885" s="4">
        <v>44461.08336520834</v>
      </c>
      <c r="H2885" s="8">
        <v>44461.0</v>
      </c>
    </row>
    <row r="2886">
      <c r="A2886" s="2">
        <v>0.27</v>
      </c>
      <c r="B2886" s="2">
        <v>234.0</v>
      </c>
      <c r="C2886" s="2">
        <v>4.2</v>
      </c>
      <c r="D2886" s="2">
        <v>2.78</v>
      </c>
      <c r="E2886" s="2">
        <v>0.07</v>
      </c>
      <c r="F2886" s="2">
        <v>50.0</v>
      </c>
      <c r="G2886" s="4">
        <v>44461.08347707176</v>
      </c>
      <c r="H2886" s="8">
        <v>44461.0</v>
      </c>
    </row>
    <row r="2887">
      <c r="A2887" s="2">
        <v>0.28</v>
      </c>
      <c r="B2887" s="2">
        <v>233.9</v>
      </c>
      <c r="C2887" s="2">
        <v>7.6</v>
      </c>
      <c r="D2887" s="2">
        <v>2.78</v>
      </c>
      <c r="E2887" s="2">
        <v>0.12</v>
      </c>
      <c r="F2887" s="2">
        <v>50.0</v>
      </c>
      <c r="G2887" s="4">
        <v>44461.08358737269</v>
      </c>
      <c r="H2887" s="8">
        <v>44461.0</v>
      </c>
    </row>
    <row r="2888">
      <c r="A2888" s="2">
        <v>0.27</v>
      </c>
      <c r="B2888" s="2">
        <v>233.9</v>
      </c>
      <c r="C2888" s="2">
        <v>4.1</v>
      </c>
      <c r="D2888" s="2">
        <v>2.78</v>
      </c>
      <c r="E2888" s="2">
        <v>0.07</v>
      </c>
      <c r="F2888" s="2">
        <v>49.9</v>
      </c>
      <c r="G2888" s="4">
        <v>44461.08370449074</v>
      </c>
      <c r="H2888" s="8">
        <v>44461.0</v>
      </c>
    </row>
    <row r="2889">
      <c r="A2889" s="2">
        <v>0.27</v>
      </c>
      <c r="B2889" s="2">
        <v>233.9</v>
      </c>
      <c r="C2889" s="2">
        <v>6.7</v>
      </c>
      <c r="D2889" s="2">
        <v>2.78</v>
      </c>
      <c r="E2889" s="2">
        <v>0.11</v>
      </c>
      <c r="F2889" s="2">
        <v>49.9</v>
      </c>
      <c r="G2889" s="4">
        <v>44461.08381024306</v>
      </c>
      <c r="H2889" s="8">
        <v>44461.0</v>
      </c>
    </row>
    <row r="2890">
      <c r="A2890" s="2">
        <v>0.3</v>
      </c>
      <c r="B2890" s="2">
        <v>234.0</v>
      </c>
      <c r="C2890" s="2">
        <v>10.4</v>
      </c>
      <c r="D2890" s="2">
        <v>2.78</v>
      </c>
      <c r="E2890" s="2">
        <v>0.15</v>
      </c>
      <c r="F2890" s="2">
        <v>49.9</v>
      </c>
      <c r="G2890" s="4">
        <v>44461.08392268518</v>
      </c>
      <c r="H2890" s="8">
        <v>44461.0</v>
      </c>
    </row>
    <row r="2891">
      <c r="A2891" s="2">
        <v>0.28</v>
      </c>
      <c r="B2891" s="2">
        <v>234.0</v>
      </c>
      <c r="C2891" s="2">
        <v>5.9</v>
      </c>
      <c r="D2891" s="2">
        <v>2.78</v>
      </c>
      <c r="E2891" s="2">
        <v>0.09</v>
      </c>
      <c r="F2891" s="2">
        <v>50.0</v>
      </c>
      <c r="G2891" s="4">
        <v>44461.0840284375</v>
      </c>
      <c r="H2891" s="8">
        <v>44461.0</v>
      </c>
    </row>
    <row r="2892">
      <c r="A2892" s="2">
        <v>0.28</v>
      </c>
      <c r="B2892" s="2">
        <v>234.0</v>
      </c>
      <c r="C2892" s="2">
        <v>6.9</v>
      </c>
      <c r="D2892" s="2">
        <v>2.78</v>
      </c>
      <c r="E2892" s="2">
        <v>0.11</v>
      </c>
      <c r="F2892" s="2">
        <v>50.0</v>
      </c>
      <c r="G2892" s="4">
        <v>44461.08413665509</v>
      </c>
      <c r="H2892" s="8">
        <v>44461.0</v>
      </c>
    </row>
    <row r="2893">
      <c r="A2893" s="2">
        <v>0.28</v>
      </c>
      <c r="B2893" s="2">
        <v>234.1</v>
      </c>
      <c r="C2893" s="2">
        <v>6.7</v>
      </c>
      <c r="D2893" s="2">
        <v>2.78</v>
      </c>
      <c r="E2893" s="2">
        <v>0.1</v>
      </c>
      <c r="F2893" s="2">
        <v>50.0</v>
      </c>
      <c r="G2893" s="4">
        <v>44461.08425811343</v>
      </c>
      <c r="H2893" s="8">
        <v>44461.0</v>
      </c>
    </row>
    <row r="2894">
      <c r="A2894" s="2">
        <v>0.27</v>
      </c>
      <c r="B2894" s="2">
        <v>234.2</v>
      </c>
      <c r="C2894" s="2">
        <v>4.6</v>
      </c>
      <c r="D2894" s="2">
        <v>2.78</v>
      </c>
      <c r="E2894" s="2">
        <v>0.07</v>
      </c>
      <c r="F2894" s="2">
        <v>50.0</v>
      </c>
      <c r="G2894" s="4">
        <v>44461.08436591435</v>
      </c>
      <c r="H2894" s="8">
        <v>44461.0</v>
      </c>
    </row>
    <row r="2895">
      <c r="A2895" s="2">
        <v>0.27</v>
      </c>
      <c r="B2895" s="2">
        <v>234.1</v>
      </c>
      <c r="C2895" s="2">
        <v>4.9</v>
      </c>
      <c r="D2895" s="2">
        <v>2.78</v>
      </c>
      <c r="E2895" s="2">
        <v>0.08</v>
      </c>
      <c r="F2895" s="2">
        <v>50.0</v>
      </c>
      <c r="G2895" s="4">
        <v>44461.084481516205</v>
      </c>
      <c r="H2895" s="8">
        <v>44461.0</v>
      </c>
    </row>
    <row r="2896">
      <c r="A2896" s="2">
        <v>0.27</v>
      </c>
      <c r="B2896" s="2">
        <v>234.0</v>
      </c>
      <c r="C2896" s="2">
        <v>4.1</v>
      </c>
      <c r="D2896" s="2">
        <v>2.78</v>
      </c>
      <c r="E2896" s="2">
        <v>0.07</v>
      </c>
      <c r="F2896" s="2">
        <v>50.0</v>
      </c>
      <c r="G2896" s="4">
        <v>44461.08458873843</v>
      </c>
      <c r="H2896" s="8">
        <v>44461.0</v>
      </c>
    </row>
    <row r="2897">
      <c r="A2897" s="2">
        <v>0.27</v>
      </c>
      <c r="B2897" s="2">
        <v>233.7</v>
      </c>
      <c r="C2897" s="2">
        <v>5.2</v>
      </c>
      <c r="D2897" s="2">
        <v>2.78</v>
      </c>
      <c r="E2897" s="2">
        <v>0.08</v>
      </c>
      <c r="F2897" s="2">
        <v>50.0</v>
      </c>
      <c r="G2897" s="4">
        <v>44461.0846996412</v>
      </c>
      <c r="H2897" s="8">
        <v>44461.0</v>
      </c>
    </row>
    <row r="2898">
      <c r="A2898" s="2">
        <v>0.27</v>
      </c>
      <c r="B2898" s="2">
        <v>233.8</v>
      </c>
      <c r="C2898" s="2">
        <v>7.1</v>
      </c>
      <c r="D2898" s="2">
        <v>2.78</v>
      </c>
      <c r="E2898" s="2">
        <v>0.11</v>
      </c>
      <c r="F2898" s="2">
        <v>50.0</v>
      </c>
      <c r="G2898" s="4">
        <v>44461.08481314815</v>
      </c>
      <c r="H2898" s="8">
        <v>44461.0</v>
      </c>
    </row>
    <row r="2899">
      <c r="A2899" s="2">
        <v>0.27</v>
      </c>
      <c r="B2899" s="2">
        <v>233.8</v>
      </c>
      <c r="C2899" s="2">
        <v>5.9</v>
      </c>
      <c r="D2899" s="2">
        <v>2.78</v>
      </c>
      <c r="E2899" s="2">
        <v>0.09</v>
      </c>
      <c r="F2899" s="2">
        <v>50.0</v>
      </c>
      <c r="G2899" s="4">
        <v>44461.08492324074</v>
      </c>
      <c r="H2899" s="8">
        <v>44461.0</v>
      </c>
    </row>
    <row r="2900">
      <c r="A2900" s="2">
        <v>0.3</v>
      </c>
      <c r="B2900" s="2">
        <v>233.8</v>
      </c>
      <c r="C2900" s="2">
        <v>10.8</v>
      </c>
      <c r="D2900" s="2">
        <v>2.78</v>
      </c>
      <c r="E2900" s="2">
        <v>0.16</v>
      </c>
      <c r="F2900" s="2">
        <v>50.0</v>
      </c>
      <c r="G2900" s="4">
        <v>44461.08502608797</v>
      </c>
      <c r="H2900" s="8">
        <v>44461.0</v>
      </c>
    </row>
    <row r="2901">
      <c r="A2901" s="2">
        <v>0.27</v>
      </c>
      <c r="B2901" s="2">
        <v>233.7</v>
      </c>
      <c r="C2901" s="2">
        <v>5.5</v>
      </c>
      <c r="D2901" s="2">
        <v>2.78</v>
      </c>
      <c r="E2901" s="2">
        <v>0.09</v>
      </c>
      <c r="F2901" s="2">
        <v>50.0</v>
      </c>
      <c r="G2901" s="4">
        <v>44461.08513024305</v>
      </c>
      <c r="H2901" s="8">
        <v>44461.0</v>
      </c>
    </row>
    <row r="2902">
      <c r="A2902" s="2">
        <v>0.27</v>
      </c>
      <c r="B2902" s="2">
        <v>233.7</v>
      </c>
      <c r="C2902" s="2">
        <v>4.8</v>
      </c>
      <c r="D2902" s="2">
        <v>2.78</v>
      </c>
      <c r="E2902" s="2">
        <v>0.08</v>
      </c>
      <c r="F2902" s="2">
        <v>50.0</v>
      </c>
      <c r="G2902" s="4">
        <v>44461.08523589121</v>
      </c>
      <c r="H2902" s="8">
        <v>44461.0</v>
      </c>
    </row>
    <row r="2903">
      <c r="A2903" s="2">
        <v>0.27</v>
      </c>
      <c r="B2903" s="2">
        <v>233.7</v>
      </c>
      <c r="C2903" s="2">
        <v>5.4</v>
      </c>
      <c r="D2903" s="2">
        <v>2.78</v>
      </c>
      <c r="E2903" s="2">
        <v>0.09</v>
      </c>
      <c r="F2903" s="2">
        <v>50.0</v>
      </c>
      <c r="G2903" s="4">
        <v>44461.085342997685</v>
      </c>
      <c r="H2903" s="8">
        <v>44461.0</v>
      </c>
    </row>
    <row r="2904">
      <c r="A2904" s="2">
        <v>0.3</v>
      </c>
      <c r="B2904" s="2">
        <v>233.7</v>
      </c>
      <c r="C2904" s="2">
        <v>11.5</v>
      </c>
      <c r="D2904" s="2">
        <v>2.78</v>
      </c>
      <c r="E2904" s="2">
        <v>0.17</v>
      </c>
      <c r="F2904" s="2">
        <v>50.0</v>
      </c>
      <c r="G2904" s="4">
        <v>44461.08544622685</v>
      </c>
      <c r="H2904" s="8">
        <v>44461.0</v>
      </c>
    </row>
    <row r="2905">
      <c r="A2905" s="2">
        <v>0.28</v>
      </c>
      <c r="B2905" s="2">
        <v>233.4</v>
      </c>
      <c r="C2905" s="2">
        <v>6.6</v>
      </c>
      <c r="D2905" s="2">
        <v>2.78</v>
      </c>
      <c r="E2905" s="2">
        <v>0.1</v>
      </c>
      <c r="F2905" s="2">
        <v>50.0</v>
      </c>
      <c r="G2905" s="4">
        <v>44461.085553310186</v>
      </c>
      <c r="H2905" s="8">
        <v>44461.0</v>
      </c>
    </row>
    <row r="2906">
      <c r="A2906" s="2">
        <v>0.28</v>
      </c>
      <c r="B2906" s="2">
        <v>233.5</v>
      </c>
      <c r="C2906" s="2">
        <v>7.0</v>
      </c>
      <c r="D2906" s="2">
        <v>2.78</v>
      </c>
      <c r="E2906" s="2">
        <v>0.11</v>
      </c>
      <c r="F2906" s="2">
        <v>50.0</v>
      </c>
      <c r="G2906" s="4">
        <v>44461.085660972225</v>
      </c>
      <c r="H2906" s="8">
        <v>44461.0</v>
      </c>
    </row>
    <row r="2907">
      <c r="A2907" s="2">
        <v>0.27</v>
      </c>
      <c r="B2907" s="2">
        <v>233.6</v>
      </c>
      <c r="C2907" s="2">
        <v>5.3</v>
      </c>
      <c r="D2907" s="2">
        <v>2.78</v>
      </c>
      <c r="E2907" s="2">
        <v>0.08</v>
      </c>
      <c r="F2907" s="2">
        <v>50.0</v>
      </c>
      <c r="G2907" s="4">
        <v>44461.08577157407</v>
      </c>
      <c r="H2907" s="8">
        <v>44461.0</v>
      </c>
    </row>
    <row r="2908">
      <c r="A2908" s="2">
        <v>0.27</v>
      </c>
      <c r="B2908" s="2">
        <v>233.6</v>
      </c>
      <c r="C2908" s="2">
        <v>4.6</v>
      </c>
      <c r="D2908" s="2">
        <v>2.78</v>
      </c>
      <c r="E2908" s="2">
        <v>0.07</v>
      </c>
      <c r="F2908" s="2">
        <v>50.0</v>
      </c>
      <c r="G2908" s="4">
        <v>44461.08588770834</v>
      </c>
      <c r="H2908" s="8">
        <v>44461.0</v>
      </c>
    </row>
    <row r="2909">
      <c r="A2909" s="2">
        <v>0.27</v>
      </c>
      <c r="B2909" s="2">
        <v>233.8</v>
      </c>
      <c r="C2909" s="2">
        <v>5.0</v>
      </c>
      <c r="D2909" s="2">
        <v>2.78</v>
      </c>
      <c r="E2909" s="2">
        <v>0.08</v>
      </c>
      <c r="F2909" s="2">
        <v>50.0</v>
      </c>
      <c r="G2909" s="4">
        <v>44461.08599752314</v>
      </c>
      <c r="H2909" s="8">
        <v>44461.0</v>
      </c>
    </row>
    <row r="2910">
      <c r="A2910" s="2">
        <v>0.27</v>
      </c>
      <c r="B2910" s="2">
        <v>233.9</v>
      </c>
      <c r="C2910" s="2">
        <v>4.5</v>
      </c>
      <c r="D2910" s="2">
        <v>2.78</v>
      </c>
      <c r="E2910" s="2">
        <v>0.07</v>
      </c>
      <c r="F2910" s="2">
        <v>50.0</v>
      </c>
      <c r="G2910" s="4">
        <v>44461.08610460648</v>
      </c>
      <c r="H2910" s="8">
        <v>44461.0</v>
      </c>
    </row>
    <row r="2911">
      <c r="A2911" s="2">
        <v>0.28</v>
      </c>
      <c r="B2911" s="2">
        <v>233.9</v>
      </c>
      <c r="C2911" s="2">
        <v>8.5</v>
      </c>
      <c r="D2911" s="2">
        <v>2.78</v>
      </c>
      <c r="E2911" s="2">
        <v>0.13</v>
      </c>
      <c r="F2911" s="2">
        <v>50.0</v>
      </c>
      <c r="G2911" s="4">
        <v>44461.0862100463</v>
      </c>
      <c r="H2911" s="8">
        <v>44461.0</v>
      </c>
    </row>
    <row r="2912">
      <c r="A2912" s="2">
        <v>0.29</v>
      </c>
      <c r="B2912" s="2">
        <v>233.9</v>
      </c>
      <c r="C2912" s="2">
        <v>9.3</v>
      </c>
      <c r="D2912" s="2">
        <v>2.78</v>
      </c>
      <c r="E2912" s="2">
        <v>0.14</v>
      </c>
      <c r="F2912" s="2">
        <v>50.0</v>
      </c>
      <c r="G2912" s="4">
        <v>44461.086329328704</v>
      </c>
      <c r="H2912" s="8">
        <v>44461.0</v>
      </c>
    </row>
    <row r="2913">
      <c r="A2913" s="2">
        <v>0.27</v>
      </c>
      <c r="B2913" s="2">
        <v>234.1</v>
      </c>
      <c r="C2913" s="2">
        <v>5.5</v>
      </c>
      <c r="D2913" s="2">
        <v>2.78</v>
      </c>
      <c r="E2913" s="2">
        <v>0.09</v>
      </c>
      <c r="F2913" s="2">
        <v>50.0</v>
      </c>
      <c r="G2913" s="4">
        <v>44461.08645206019</v>
      </c>
      <c r="H2913" s="8">
        <v>44461.0</v>
      </c>
    </row>
    <row r="2914">
      <c r="A2914" s="2">
        <v>0.29</v>
      </c>
      <c r="B2914" s="2">
        <v>233.9</v>
      </c>
      <c r="C2914" s="2">
        <v>10.8</v>
      </c>
      <c r="D2914" s="2">
        <v>2.78</v>
      </c>
      <c r="E2914" s="2">
        <v>0.16</v>
      </c>
      <c r="F2914" s="2">
        <v>50.0</v>
      </c>
      <c r="G2914" s="4">
        <v>44461.08655601852</v>
      </c>
      <c r="H2914" s="8">
        <v>44461.0</v>
      </c>
    </row>
    <row r="2915">
      <c r="A2915" s="2">
        <v>0.28</v>
      </c>
      <c r="B2915" s="2">
        <v>234.1</v>
      </c>
      <c r="C2915" s="2">
        <v>7.3</v>
      </c>
      <c r="D2915" s="2">
        <v>2.78</v>
      </c>
      <c r="E2915" s="2">
        <v>0.11</v>
      </c>
      <c r="F2915" s="2">
        <v>50.0</v>
      </c>
      <c r="G2915" s="4">
        <v>44461.086665324074</v>
      </c>
      <c r="H2915" s="8">
        <v>44461.0</v>
      </c>
    </row>
    <row r="2916">
      <c r="A2916" s="2">
        <v>0.28</v>
      </c>
      <c r="B2916" s="2">
        <v>233.9</v>
      </c>
      <c r="C2916" s="2">
        <v>7.5</v>
      </c>
      <c r="D2916" s="2">
        <v>2.78</v>
      </c>
      <c r="E2916" s="2">
        <v>0.11</v>
      </c>
      <c r="F2916" s="2">
        <v>50.0</v>
      </c>
      <c r="G2916" s="4">
        <v>44461.08677275463</v>
      </c>
      <c r="H2916" s="8">
        <v>44461.0</v>
      </c>
    </row>
    <row r="2917">
      <c r="A2917" s="2">
        <v>0.29</v>
      </c>
      <c r="B2917" s="2">
        <v>234.1</v>
      </c>
      <c r="C2917" s="2">
        <v>9.2</v>
      </c>
      <c r="D2917" s="2">
        <v>2.78</v>
      </c>
      <c r="E2917" s="2">
        <v>0.14</v>
      </c>
      <c r="F2917" s="2">
        <v>50.0</v>
      </c>
      <c r="G2917" s="4">
        <v>44461.0868959838</v>
      </c>
      <c r="H2917" s="8">
        <v>44461.0</v>
      </c>
    </row>
    <row r="2918">
      <c r="A2918" s="2">
        <v>0.27</v>
      </c>
      <c r="B2918" s="2">
        <v>234.1</v>
      </c>
      <c r="C2918" s="2">
        <v>6.4</v>
      </c>
      <c r="D2918" s="2">
        <v>2.78</v>
      </c>
      <c r="E2918" s="2">
        <v>0.1</v>
      </c>
      <c r="F2918" s="2">
        <v>50.0</v>
      </c>
      <c r="G2918" s="4">
        <v>44461.08703429398</v>
      </c>
      <c r="H2918" s="8">
        <v>44461.0</v>
      </c>
    </row>
    <row r="2919">
      <c r="A2919" s="2">
        <v>0.29</v>
      </c>
      <c r="B2919" s="2">
        <v>234.2</v>
      </c>
      <c r="C2919" s="2">
        <v>9.8</v>
      </c>
      <c r="D2919" s="2">
        <v>2.78</v>
      </c>
      <c r="E2919" s="2">
        <v>0.14</v>
      </c>
      <c r="F2919" s="2">
        <v>50.0</v>
      </c>
      <c r="G2919" s="4">
        <v>44461.087139560186</v>
      </c>
      <c r="H2919" s="8">
        <v>44461.0</v>
      </c>
    </row>
    <row r="2920">
      <c r="A2920" s="2">
        <v>0.29</v>
      </c>
      <c r="B2920" s="2">
        <v>234.2</v>
      </c>
      <c r="C2920" s="2">
        <v>11.0</v>
      </c>
      <c r="D2920" s="2">
        <v>2.78</v>
      </c>
      <c r="E2920" s="2">
        <v>0.16</v>
      </c>
      <c r="F2920" s="2">
        <v>50.0</v>
      </c>
      <c r="G2920" s="4">
        <v>44461.08724988426</v>
      </c>
      <c r="H2920" s="8">
        <v>44461.0</v>
      </c>
    </row>
    <row r="2921">
      <c r="A2921" s="2">
        <v>0.28</v>
      </c>
      <c r="B2921" s="2">
        <v>234.3</v>
      </c>
      <c r="C2921" s="2">
        <v>6.3</v>
      </c>
      <c r="D2921" s="2">
        <v>2.78</v>
      </c>
      <c r="E2921" s="2">
        <v>0.1</v>
      </c>
      <c r="F2921" s="2">
        <v>50.0</v>
      </c>
      <c r="G2921" s="4">
        <v>44461.08735695602</v>
      </c>
      <c r="H2921" s="8">
        <v>44461.0</v>
      </c>
    </row>
    <row r="2922">
      <c r="A2922" s="2">
        <v>0.27</v>
      </c>
      <c r="B2922" s="2">
        <v>234.3</v>
      </c>
      <c r="C2922" s="2">
        <v>4.4</v>
      </c>
      <c r="D2922" s="2">
        <v>2.78</v>
      </c>
      <c r="E2922" s="2">
        <v>0.07</v>
      </c>
      <c r="F2922" s="2">
        <v>50.0</v>
      </c>
      <c r="G2922" s="4">
        <v>44461.087457939815</v>
      </c>
      <c r="H2922" s="8">
        <v>44461.0</v>
      </c>
    </row>
    <row r="2923">
      <c r="A2923" s="2">
        <v>0.27</v>
      </c>
      <c r="B2923" s="2">
        <v>234.2</v>
      </c>
      <c r="C2923" s="2">
        <v>4.0</v>
      </c>
      <c r="D2923" s="2">
        <v>2.78</v>
      </c>
      <c r="E2923" s="2">
        <v>0.06</v>
      </c>
      <c r="F2923" s="2">
        <v>50.0</v>
      </c>
      <c r="G2923" s="4">
        <v>44461.087562615736</v>
      </c>
      <c r="H2923" s="8">
        <v>44461.0</v>
      </c>
    </row>
    <row r="2924">
      <c r="A2924" s="2">
        <v>0.29</v>
      </c>
      <c r="B2924" s="2">
        <v>234.3</v>
      </c>
      <c r="C2924" s="2">
        <v>9.7</v>
      </c>
      <c r="D2924" s="2">
        <v>2.78</v>
      </c>
      <c r="E2924" s="2">
        <v>0.14</v>
      </c>
      <c r="F2924" s="2">
        <v>50.0</v>
      </c>
      <c r="G2924" s="4">
        <v>44461.08766883102</v>
      </c>
      <c r="H2924" s="8">
        <v>44461.0</v>
      </c>
    </row>
    <row r="2925">
      <c r="A2925" s="2">
        <v>0.27</v>
      </c>
      <c r="B2925" s="2">
        <v>234.3</v>
      </c>
      <c r="C2925" s="2">
        <v>6.5</v>
      </c>
      <c r="D2925" s="2">
        <v>2.78</v>
      </c>
      <c r="E2925" s="2">
        <v>0.1</v>
      </c>
      <c r="F2925" s="2">
        <v>50.0</v>
      </c>
      <c r="G2925" s="4">
        <v>44461.087779050926</v>
      </c>
      <c r="H2925" s="8">
        <v>44461.0</v>
      </c>
    </row>
    <row r="2926">
      <c r="A2926" s="2">
        <v>0.29</v>
      </c>
      <c r="B2926" s="2">
        <v>234.3</v>
      </c>
      <c r="C2926" s="2">
        <v>9.4</v>
      </c>
      <c r="D2926" s="2">
        <v>2.78</v>
      </c>
      <c r="E2926" s="2">
        <v>0.14</v>
      </c>
      <c r="F2926" s="2">
        <v>50.0</v>
      </c>
      <c r="G2926" s="4">
        <v>44461.08788423611</v>
      </c>
      <c r="H2926" s="8">
        <v>44461.0</v>
      </c>
    </row>
    <row r="2927">
      <c r="A2927" s="2">
        <v>0.3</v>
      </c>
      <c r="B2927" s="2">
        <v>234.3</v>
      </c>
      <c r="C2927" s="2">
        <v>5.4</v>
      </c>
      <c r="D2927" s="2">
        <v>2.78</v>
      </c>
      <c r="E2927" s="2">
        <v>0.08</v>
      </c>
      <c r="F2927" s="2">
        <v>50.0</v>
      </c>
      <c r="G2927" s="4">
        <v>44461.08801741898</v>
      </c>
      <c r="H2927" s="8">
        <v>44461.0</v>
      </c>
    </row>
    <row r="2928">
      <c r="A2928" s="2">
        <v>0.3</v>
      </c>
      <c r="B2928" s="2">
        <v>234.3</v>
      </c>
      <c r="C2928" s="2">
        <v>11.3</v>
      </c>
      <c r="D2928" s="2">
        <v>2.78</v>
      </c>
      <c r="E2928" s="2">
        <v>0.16</v>
      </c>
      <c r="F2928" s="2">
        <v>50.0</v>
      </c>
      <c r="G2928" s="4">
        <v>44461.08812863426</v>
      </c>
      <c r="H2928" s="8">
        <v>44461.0</v>
      </c>
    </row>
    <row r="2929">
      <c r="A2929" s="2">
        <v>0.27</v>
      </c>
      <c r="B2929" s="2">
        <v>234.4</v>
      </c>
      <c r="C2929" s="2">
        <v>5.7</v>
      </c>
      <c r="D2929" s="2">
        <v>2.78</v>
      </c>
      <c r="E2929" s="2">
        <v>0.09</v>
      </c>
      <c r="F2929" s="2">
        <v>50.0</v>
      </c>
      <c r="G2929" s="4">
        <v>44461.08823314815</v>
      </c>
      <c r="H2929" s="8">
        <v>44461.0</v>
      </c>
    </row>
    <row r="2930">
      <c r="A2930" s="2">
        <v>0.27</v>
      </c>
      <c r="B2930" s="2">
        <v>234.3</v>
      </c>
      <c r="C2930" s="2">
        <v>4.8</v>
      </c>
      <c r="D2930" s="2">
        <v>2.78</v>
      </c>
      <c r="E2930" s="2">
        <v>0.08</v>
      </c>
      <c r="F2930" s="2">
        <v>50.0</v>
      </c>
      <c r="G2930" s="4">
        <v>44461.088338877315</v>
      </c>
      <c r="H2930" s="8">
        <v>44461.0</v>
      </c>
    </row>
    <row r="2931">
      <c r="A2931" s="2">
        <v>0.27</v>
      </c>
      <c r="B2931" s="2">
        <v>234.4</v>
      </c>
      <c r="C2931" s="2">
        <v>4.7</v>
      </c>
      <c r="D2931" s="2">
        <v>2.78</v>
      </c>
      <c r="E2931" s="2">
        <v>0.07</v>
      </c>
      <c r="F2931" s="2">
        <v>50.0</v>
      </c>
      <c r="G2931" s="4">
        <v>44461.08844390046</v>
      </c>
      <c r="H2931" s="8">
        <v>44461.0</v>
      </c>
    </row>
    <row r="2932">
      <c r="A2932" s="2">
        <v>0.27</v>
      </c>
      <c r="B2932" s="2">
        <v>234.4</v>
      </c>
      <c r="C2932" s="2">
        <v>4.4</v>
      </c>
      <c r="D2932" s="2">
        <v>2.78</v>
      </c>
      <c r="E2932" s="2">
        <v>0.07</v>
      </c>
      <c r="F2932" s="2">
        <v>50.0</v>
      </c>
      <c r="G2932" s="4">
        <v>44461.08855732639</v>
      </c>
      <c r="H2932" s="8">
        <v>44461.0</v>
      </c>
    </row>
    <row r="2933">
      <c r="A2933" s="2">
        <v>0.27</v>
      </c>
      <c r="B2933" s="2">
        <v>235.3</v>
      </c>
      <c r="C2933" s="2">
        <v>4.9</v>
      </c>
      <c r="D2933" s="2">
        <v>2.78</v>
      </c>
      <c r="E2933" s="2">
        <v>0.08</v>
      </c>
      <c r="F2933" s="2">
        <v>49.9</v>
      </c>
      <c r="G2933" s="4">
        <v>44461.08867064815</v>
      </c>
      <c r="H2933" s="8">
        <v>44461.0</v>
      </c>
    </row>
    <row r="2934">
      <c r="A2934" s="2">
        <v>0.29</v>
      </c>
      <c r="B2934" s="2">
        <v>235.1</v>
      </c>
      <c r="C2934" s="2">
        <v>11.3</v>
      </c>
      <c r="D2934" s="2">
        <v>2.78</v>
      </c>
      <c r="E2934" s="2">
        <v>0.16</v>
      </c>
      <c r="F2934" s="2">
        <v>49.9</v>
      </c>
      <c r="G2934" s="4">
        <v>44461.08877903935</v>
      </c>
      <c r="H2934" s="8">
        <v>44461.0</v>
      </c>
    </row>
    <row r="2935">
      <c r="A2935" s="2">
        <v>0.29</v>
      </c>
      <c r="B2935" s="2">
        <v>235.2</v>
      </c>
      <c r="C2935" s="2">
        <v>9.9</v>
      </c>
      <c r="D2935" s="2">
        <v>2.78</v>
      </c>
      <c r="E2935" s="2">
        <v>0.15</v>
      </c>
      <c r="F2935" s="2">
        <v>50.0</v>
      </c>
      <c r="G2935" s="4">
        <v>44461.088895787034</v>
      </c>
      <c r="H2935" s="8">
        <v>44461.0</v>
      </c>
    </row>
    <row r="2936">
      <c r="A2936" s="2">
        <v>0.27</v>
      </c>
      <c r="B2936" s="2">
        <v>235.3</v>
      </c>
      <c r="C2936" s="2">
        <v>4.4</v>
      </c>
      <c r="D2936" s="2">
        <v>2.78</v>
      </c>
      <c r="E2936" s="2">
        <v>0.07</v>
      </c>
      <c r="F2936" s="2">
        <v>50.0</v>
      </c>
      <c r="G2936" s="4">
        <v>44461.08902784722</v>
      </c>
      <c r="H2936" s="8">
        <v>44461.0</v>
      </c>
    </row>
    <row r="2937">
      <c r="A2937" s="2">
        <v>0.27</v>
      </c>
      <c r="B2937" s="2">
        <v>235.3</v>
      </c>
      <c r="C2937" s="2">
        <v>4.9</v>
      </c>
      <c r="D2937" s="2">
        <v>2.78</v>
      </c>
      <c r="E2937" s="2">
        <v>0.08</v>
      </c>
      <c r="F2937" s="2">
        <v>50.0</v>
      </c>
      <c r="G2937" s="4">
        <v>44461.08916265046</v>
      </c>
      <c r="H2937" s="8">
        <v>44461.0</v>
      </c>
    </row>
    <row r="2938">
      <c r="A2938" s="2">
        <v>0.27</v>
      </c>
      <c r="B2938" s="2">
        <v>235.3</v>
      </c>
      <c r="C2938" s="2">
        <v>4.5</v>
      </c>
      <c r="D2938" s="2">
        <v>2.78</v>
      </c>
      <c r="E2938" s="2">
        <v>0.07</v>
      </c>
      <c r="F2938" s="2">
        <v>50.0</v>
      </c>
      <c r="G2938" s="4">
        <v>44461.089264236114</v>
      </c>
      <c r="H2938" s="8">
        <v>44461.0</v>
      </c>
    </row>
    <row r="2939">
      <c r="A2939" s="2">
        <v>0.27</v>
      </c>
      <c r="B2939" s="2">
        <v>235.3</v>
      </c>
      <c r="C2939" s="2">
        <v>6.1</v>
      </c>
      <c r="D2939" s="2">
        <v>2.78</v>
      </c>
      <c r="E2939" s="2">
        <v>0.1</v>
      </c>
      <c r="F2939" s="2">
        <v>50.0</v>
      </c>
      <c r="G2939" s="4">
        <v>44461.08937074074</v>
      </c>
      <c r="H2939" s="8">
        <v>44461.0</v>
      </c>
    </row>
    <row r="2940">
      <c r="A2940" s="2">
        <v>0.29</v>
      </c>
      <c r="B2940" s="2">
        <v>235.2</v>
      </c>
      <c r="C2940" s="2">
        <v>9.2</v>
      </c>
      <c r="D2940" s="2">
        <v>2.78</v>
      </c>
      <c r="E2940" s="2">
        <v>0.13</v>
      </c>
      <c r="F2940" s="2">
        <v>49.9</v>
      </c>
      <c r="G2940" s="4">
        <v>44461.08947328704</v>
      </c>
      <c r="H2940" s="8">
        <v>44461.0</v>
      </c>
    </row>
    <row r="2941">
      <c r="A2941" s="2">
        <v>0.27</v>
      </c>
      <c r="B2941" s="2">
        <v>235.3</v>
      </c>
      <c r="C2941" s="2">
        <v>4.6</v>
      </c>
      <c r="D2941" s="2">
        <v>2.78</v>
      </c>
      <c r="E2941" s="2">
        <v>0.07</v>
      </c>
      <c r="F2941" s="2">
        <v>50.0</v>
      </c>
      <c r="G2941" s="4">
        <v>44461.08958189815</v>
      </c>
      <c r="H2941" s="8">
        <v>44461.0</v>
      </c>
    </row>
    <row r="2942">
      <c r="A2942" s="2">
        <v>0.28</v>
      </c>
      <c r="B2942" s="2">
        <v>235.3</v>
      </c>
      <c r="C2942" s="2">
        <v>5.7</v>
      </c>
      <c r="D2942" s="2">
        <v>2.78</v>
      </c>
      <c r="E2942" s="2">
        <v>0.09</v>
      </c>
      <c r="F2942" s="2">
        <v>49.9</v>
      </c>
      <c r="G2942" s="4">
        <v>44461.08969248843</v>
      </c>
      <c r="H2942" s="8">
        <v>44461.0</v>
      </c>
    </row>
    <row r="2943">
      <c r="A2943" s="2">
        <v>0.27</v>
      </c>
      <c r="B2943" s="2">
        <v>235.2</v>
      </c>
      <c r="C2943" s="2">
        <v>5.2</v>
      </c>
      <c r="D2943" s="2">
        <v>2.78</v>
      </c>
      <c r="E2943" s="2">
        <v>0.08</v>
      </c>
      <c r="F2943" s="2">
        <v>49.9</v>
      </c>
      <c r="G2943" s="4">
        <v>44461.0897987037</v>
      </c>
      <c r="H2943" s="8">
        <v>44461.0</v>
      </c>
    </row>
    <row r="2944">
      <c r="A2944" s="2">
        <v>0.27</v>
      </c>
      <c r="B2944" s="2">
        <v>235.3</v>
      </c>
      <c r="C2944" s="2">
        <v>4.2</v>
      </c>
      <c r="D2944" s="2">
        <v>2.78</v>
      </c>
      <c r="E2944" s="2">
        <v>0.07</v>
      </c>
      <c r="F2944" s="2">
        <v>50.0</v>
      </c>
      <c r="G2944" s="4">
        <v>44461.08990663194</v>
      </c>
      <c r="H2944" s="8">
        <v>44461.0</v>
      </c>
    </row>
    <row r="2945">
      <c r="A2945" s="2">
        <v>0.27</v>
      </c>
      <c r="B2945" s="2">
        <v>235.4</v>
      </c>
      <c r="C2945" s="2">
        <v>5.4</v>
      </c>
      <c r="D2945" s="2">
        <v>2.78</v>
      </c>
      <c r="E2945" s="2">
        <v>0.08</v>
      </c>
      <c r="F2945" s="2">
        <v>49.9</v>
      </c>
      <c r="G2945" s="4">
        <v>44461.09001675926</v>
      </c>
      <c r="H2945" s="8">
        <v>44461.0</v>
      </c>
    </row>
    <row r="2946">
      <c r="A2946" s="2">
        <v>0.28</v>
      </c>
      <c r="B2946" s="2">
        <v>235.5</v>
      </c>
      <c r="C2946" s="2">
        <v>8.4</v>
      </c>
      <c r="D2946" s="2">
        <v>2.78</v>
      </c>
      <c r="E2946" s="2">
        <v>0.13</v>
      </c>
      <c r="F2946" s="2">
        <v>50.0</v>
      </c>
      <c r="G2946" s="4">
        <v>44461.09011908565</v>
      </c>
      <c r="H2946" s="8">
        <v>44461.0</v>
      </c>
    </row>
    <row r="2947">
      <c r="A2947" s="2">
        <v>0.29</v>
      </c>
      <c r="B2947" s="2">
        <v>235.5</v>
      </c>
      <c r="C2947" s="2">
        <v>8.6</v>
      </c>
      <c r="D2947" s="2">
        <v>2.78</v>
      </c>
      <c r="E2947" s="2">
        <v>0.13</v>
      </c>
      <c r="F2947" s="2">
        <v>50.0</v>
      </c>
      <c r="G2947" s="4">
        <v>44461.090222893516</v>
      </c>
      <c r="H2947" s="8">
        <v>44461.0</v>
      </c>
    </row>
    <row r="2948">
      <c r="A2948" s="2">
        <v>0.27</v>
      </c>
      <c r="B2948" s="2">
        <v>235.4</v>
      </c>
      <c r="C2948" s="2">
        <v>5.7</v>
      </c>
      <c r="D2948" s="2">
        <v>2.78</v>
      </c>
      <c r="E2948" s="2">
        <v>0.09</v>
      </c>
      <c r="F2948" s="2">
        <v>50.0</v>
      </c>
      <c r="G2948" s="4">
        <v>44461.09033320602</v>
      </c>
      <c r="H2948" s="8">
        <v>44461.0</v>
      </c>
    </row>
    <row r="2949">
      <c r="A2949" s="2">
        <v>0.27</v>
      </c>
      <c r="B2949" s="2">
        <v>235.3</v>
      </c>
      <c r="C2949" s="2">
        <v>4.8</v>
      </c>
      <c r="D2949" s="2">
        <v>2.78</v>
      </c>
      <c r="E2949" s="2">
        <v>0.08</v>
      </c>
      <c r="F2949" s="2">
        <v>50.0</v>
      </c>
      <c r="G2949" s="4">
        <v>44461.090441238426</v>
      </c>
      <c r="H2949" s="8">
        <v>44461.0</v>
      </c>
    </row>
    <row r="2950">
      <c r="A2950" s="2">
        <v>0.27</v>
      </c>
      <c r="B2950" s="2">
        <v>235.3</v>
      </c>
      <c r="C2950" s="2">
        <v>4.2</v>
      </c>
      <c r="D2950" s="2">
        <v>2.78</v>
      </c>
      <c r="E2950" s="2">
        <v>0.07</v>
      </c>
      <c r="F2950" s="2">
        <v>50.0</v>
      </c>
      <c r="G2950" s="4">
        <v>44461.09054951389</v>
      </c>
      <c r="H2950" s="8">
        <v>44461.0</v>
      </c>
    </row>
    <row r="2951">
      <c r="A2951" s="2">
        <v>0.27</v>
      </c>
      <c r="B2951" s="2">
        <v>235.3</v>
      </c>
      <c r="C2951" s="2">
        <v>5.9</v>
      </c>
      <c r="D2951" s="2">
        <v>2.78</v>
      </c>
      <c r="E2951" s="2">
        <v>0.09</v>
      </c>
      <c r="F2951" s="2">
        <v>50.0</v>
      </c>
      <c r="G2951" s="4">
        <v>44461.09065835648</v>
      </c>
      <c r="H2951" s="8">
        <v>44461.0</v>
      </c>
    </row>
    <row r="2952">
      <c r="A2952" s="2">
        <v>0.3</v>
      </c>
      <c r="B2952" s="2">
        <v>235.2</v>
      </c>
      <c r="C2952" s="2">
        <v>10.4</v>
      </c>
      <c r="D2952" s="2">
        <v>2.78</v>
      </c>
      <c r="E2952" s="2">
        <v>0.15</v>
      </c>
      <c r="F2952" s="2">
        <v>50.0</v>
      </c>
      <c r="G2952" s="4">
        <v>44461.090766423615</v>
      </c>
      <c r="H2952" s="8">
        <v>44461.0</v>
      </c>
    </row>
    <row r="2953">
      <c r="A2953" s="2">
        <v>0.28</v>
      </c>
      <c r="B2953" s="2">
        <v>235.1</v>
      </c>
      <c r="C2953" s="2">
        <v>5.8</v>
      </c>
      <c r="D2953" s="2">
        <v>2.78</v>
      </c>
      <c r="E2953" s="2">
        <v>0.09</v>
      </c>
      <c r="F2953" s="2">
        <v>50.0</v>
      </c>
      <c r="G2953" s="4">
        <v>44461.09086861111</v>
      </c>
      <c r="H2953" s="8">
        <v>44461.0</v>
      </c>
    </row>
    <row r="2954">
      <c r="A2954" s="2">
        <v>0.27</v>
      </c>
      <c r="B2954" s="2">
        <v>235.1</v>
      </c>
      <c r="C2954" s="2">
        <v>4.5</v>
      </c>
      <c r="D2954" s="2">
        <v>2.78</v>
      </c>
      <c r="E2954" s="2">
        <v>0.07</v>
      </c>
      <c r="F2954" s="2">
        <v>50.0</v>
      </c>
      <c r="G2954" s="4">
        <v>44461.090972418984</v>
      </c>
      <c r="H2954" s="8">
        <v>44461.0</v>
      </c>
    </row>
    <row r="2955">
      <c r="A2955" s="2">
        <v>0.27</v>
      </c>
      <c r="B2955" s="2">
        <v>235.1</v>
      </c>
      <c r="C2955" s="2">
        <v>4.6</v>
      </c>
      <c r="D2955" s="2">
        <v>2.78</v>
      </c>
      <c r="E2955" s="2">
        <v>0.07</v>
      </c>
      <c r="F2955" s="2">
        <v>50.0</v>
      </c>
      <c r="G2955" s="4">
        <v>44461.09108008102</v>
      </c>
      <c r="H2955" s="8">
        <v>44461.0</v>
      </c>
    </row>
    <row r="2956">
      <c r="A2956" s="2">
        <v>0.26</v>
      </c>
      <c r="B2956" s="2">
        <v>235.1</v>
      </c>
      <c r="C2956" s="2">
        <v>3.6</v>
      </c>
      <c r="D2956" s="2">
        <v>2.78</v>
      </c>
      <c r="E2956" s="2">
        <v>0.06</v>
      </c>
      <c r="F2956" s="2">
        <v>50.0</v>
      </c>
      <c r="G2956" s="4">
        <v>44461.0911933912</v>
      </c>
      <c r="H2956" s="8">
        <v>44461.0</v>
      </c>
    </row>
    <row r="2957">
      <c r="A2957" s="2">
        <v>0.3</v>
      </c>
      <c r="B2957" s="2">
        <v>235.0</v>
      </c>
      <c r="C2957" s="2">
        <v>10.5</v>
      </c>
      <c r="D2957" s="2">
        <v>2.78</v>
      </c>
      <c r="E2957" s="2">
        <v>0.15</v>
      </c>
      <c r="F2957" s="2">
        <v>50.0</v>
      </c>
      <c r="G2957" s="4">
        <v>44461.09133686342</v>
      </c>
      <c r="H2957" s="8">
        <v>44461.0</v>
      </c>
    </row>
    <row r="2958">
      <c r="A2958" s="2">
        <v>0.28</v>
      </c>
      <c r="B2958" s="2">
        <v>234.7</v>
      </c>
      <c r="C2958" s="2">
        <v>6.4</v>
      </c>
      <c r="D2958" s="2">
        <v>2.78</v>
      </c>
      <c r="E2958" s="2">
        <v>0.1</v>
      </c>
      <c r="F2958" s="2">
        <v>50.0</v>
      </c>
      <c r="G2958" s="4">
        <v>44461.09144498843</v>
      </c>
      <c r="H2958" s="8">
        <v>44461.0</v>
      </c>
    </row>
    <row r="2959">
      <c r="A2959" s="2">
        <v>0.28</v>
      </c>
      <c r="B2959" s="2">
        <v>234.8</v>
      </c>
      <c r="C2959" s="2">
        <v>5.7</v>
      </c>
      <c r="D2959" s="2">
        <v>2.78</v>
      </c>
      <c r="E2959" s="2">
        <v>0.09</v>
      </c>
      <c r="F2959" s="2">
        <v>50.0</v>
      </c>
      <c r="G2959" s="4">
        <v>44461.091554687504</v>
      </c>
      <c r="H2959" s="8">
        <v>44461.0</v>
      </c>
    </row>
    <row r="2960">
      <c r="A2960" s="2">
        <v>0.27</v>
      </c>
      <c r="B2960" s="2">
        <v>234.8</v>
      </c>
      <c r="C2960" s="2">
        <v>5.0</v>
      </c>
      <c r="D2960" s="2">
        <v>2.78</v>
      </c>
      <c r="E2960" s="2">
        <v>0.08</v>
      </c>
      <c r="F2960" s="2">
        <v>49.9</v>
      </c>
      <c r="G2960" s="4">
        <v>44461.09166024305</v>
      </c>
      <c r="H2960" s="8">
        <v>44461.0</v>
      </c>
    </row>
    <row r="2961">
      <c r="A2961" s="2">
        <v>0.27</v>
      </c>
      <c r="B2961" s="2">
        <v>234.8</v>
      </c>
      <c r="C2961" s="2">
        <v>4.9</v>
      </c>
      <c r="D2961" s="2">
        <v>2.78</v>
      </c>
      <c r="E2961" s="2">
        <v>0.08</v>
      </c>
      <c r="F2961" s="2">
        <v>50.0</v>
      </c>
      <c r="G2961" s="4">
        <v>44461.09176423612</v>
      </c>
      <c r="H2961" s="8">
        <v>44461.0</v>
      </c>
    </row>
    <row r="2962">
      <c r="A2962" s="2">
        <v>0.29</v>
      </c>
      <c r="B2962" s="2">
        <v>234.9</v>
      </c>
      <c r="C2962" s="2">
        <v>10.0</v>
      </c>
      <c r="D2962" s="2">
        <v>2.78</v>
      </c>
      <c r="E2962" s="2">
        <v>0.15</v>
      </c>
      <c r="F2962" s="2">
        <v>50.0</v>
      </c>
      <c r="G2962" s="4">
        <v>44461.091866215276</v>
      </c>
      <c r="H2962" s="8">
        <v>44461.0</v>
      </c>
    </row>
    <row r="2963">
      <c r="A2963" s="2">
        <v>0.29</v>
      </c>
      <c r="B2963" s="2">
        <v>235.0</v>
      </c>
      <c r="C2963" s="2">
        <v>7.7</v>
      </c>
      <c r="D2963" s="2">
        <v>2.78</v>
      </c>
      <c r="E2963" s="2">
        <v>0.11</v>
      </c>
      <c r="F2963" s="2">
        <v>50.0</v>
      </c>
      <c r="G2963" s="4">
        <v>44461.09197142361</v>
      </c>
      <c r="H2963" s="8">
        <v>44461.0</v>
      </c>
    </row>
    <row r="2964">
      <c r="A2964" s="2">
        <v>0.27</v>
      </c>
      <c r="B2964" s="2">
        <v>235.0</v>
      </c>
      <c r="C2964" s="2">
        <v>5.0</v>
      </c>
      <c r="D2964" s="2">
        <v>2.78</v>
      </c>
      <c r="E2964" s="2">
        <v>0.08</v>
      </c>
      <c r="F2964" s="2">
        <v>50.0</v>
      </c>
      <c r="G2964" s="4">
        <v>44461.09207633101</v>
      </c>
      <c r="H2964" s="8">
        <v>44461.0</v>
      </c>
    </row>
    <row r="2965">
      <c r="A2965" s="2">
        <v>0.27</v>
      </c>
      <c r="B2965" s="2">
        <v>235.0</v>
      </c>
      <c r="C2965" s="2">
        <v>4.8</v>
      </c>
      <c r="D2965" s="2">
        <v>2.78</v>
      </c>
      <c r="E2965" s="2">
        <v>0.08</v>
      </c>
      <c r="F2965" s="2">
        <v>50.0</v>
      </c>
      <c r="G2965" s="4">
        <v>44461.092179074076</v>
      </c>
      <c r="H2965" s="8">
        <v>44461.0</v>
      </c>
    </row>
    <row r="2966">
      <c r="A2966" s="2">
        <v>0.27</v>
      </c>
      <c r="B2966" s="2">
        <v>235.0</v>
      </c>
      <c r="C2966" s="2">
        <v>5.7</v>
      </c>
      <c r="D2966" s="2">
        <v>2.78</v>
      </c>
      <c r="E2966" s="2">
        <v>0.09</v>
      </c>
      <c r="F2966" s="2">
        <v>50.0</v>
      </c>
      <c r="G2966" s="4">
        <v>44461.092288368054</v>
      </c>
      <c r="H2966" s="8">
        <v>44461.0</v>
      </c>
    </row>
    <row r="2967">
      <c r="A2967" s="2">
        <v>0.29</v>
      </c>
      <c r="B2967" s="2">
        <v>234.8</v>
      </c>
      <c r="C2967" s="2">
        <v>10.2</v>
      </c>
      <c r="D2967" s="2">
        <v>2.78</v>
      </c>
      <c r="E2967" s="2">
        <v>0.15</v>
      </c>
      <c r="F2967" s="2">
        <v>50.0</v>
      </c>
      <c r="G2967" s="4">
        <v>44461.092390983795</v>
      </c>
      <c r="H2967" s="8">
        <v>44461.0</v>
      </c>
    </row>
    <row r="2968">
      <c r="A2968" s="2">
        <v>0.29</v>
      </c>
      <c r="B2968" s="2">
        <v>234.8</v>
      </c>
      <c r="C2968" s="2">
        <v>8.0</v>
      </c>
      <c r="D2968" s="2">
        <v>2.78</v>
      </c>
      <c r="E2968" s="2">
        <v>0.12</v>
      </c>
      <c r="F2968" s="2">
        <v>50.0</v>
      </c>
      <c r="G2968" s="4">
        <v>44461.092497708334</v>
      </c>
      <c r="H2968" s="8">
        <v>44461.0</v>
      </c>
    </row>
    <row r="2969">
      <c r="A2969" s="2">
        <v>0.27</v>
      </c>
      <c r="B2969" s="2">
        <v>234.6</v>
      </c>
      <c r="C2969" s="2">
        <v>5.1</v>
      </c>
      <c r="D2969" s="2">
        <v>2.78</v>
      </c>
      <c r="E2969" s="2">
        <v>0.08</v>
      </c>
      <c r="F2969" s="2">
        <v>50.0</v>
      </c>
      <c r="G2969" s="4">
        <v>44461.09260430555</v>
      </c>
      <c r="H2969" s="8">
        <v>44461.0</v>
      </c>
    </row>
    <row r="2970">
      <c r="A2970" s="2">
        <v>0.29</v>
      </c>
      <c r="B2970" s="2">
        <v>234.5</v>
      </c>
      <c r="C2970" s="2">
        <v>9.1</v>
      </c>
      <c r="D2970" s="2">
        <v>2.78</v>
      </c>
      <c r="E2970" s="2">
        <v>0.13</v>
      </c>
      <c r="F2970" s="2">
        <v>50.0</v>
      </c>
      <c r="G2970" s="4">
        <v>44461.0927334375</v>
      </c>
      <c r="H2970" s="8">
        <v>44461.0</v>
      </c>
    </row>
    <row r="2971">
      <c r="A2971" s="2">
        <v>0.28</v>
      </c>
      <c r="B2971" s="2">
        <v>234.6</v>
      </c>
      <c r="C2971" s="2">
        <v>5.8</v>
      </c>
      <c r="D2971" s="2">
        <v>2.78</v>
      </c>
      <c r="E2971" s="2">
        <v>0.09</v>
      </c>
      <c r="F2971" s="2">
        <v>50.0</v>
      </c>
      <c r="G2971" s="4">
        <v>44461.092846087966</v>
      </c>
      <c r="H2971" s="8">
        <v>44461.0</v>
      </c>
    </row>
    <row r="2972">
      <c r="A2972" s="2">
        <v>0.3</v>
      </c>
      <c r="B2972" s="2">
        <v>234.6</v>
      </c>
      <c r="C2972" s="2">
        <v>10.5</v>
      </c>
      <c r="D2972" s="2">
        <v>2.78</v>
      </c>
      <c r="E2972" s="2">
        <v>0.15</v>
      </c>
      <c r="F2972" s="2">
        <v>49.9</v>
      </c>
      <c r="G2972" s="4">
        <v>44461.09296440972</v>
      </c>
      <c r="H2972" s="8">
        <v>44461.0</v>
      </c>
    </row>
    <row r="2973">
      <c r="A2973" s="2">
        <v>0.28</v>
      </c>
      <c r="B2973" s="2">
        <v>234.6</v>
      </c>
      <c r="C2973" s="2">
        <v>5.9</v>
      </c>
      <c r="D2973" s="2">
        <v>2.78</v>
      </c>
      <c r="E2973" s="2">
        <v>0.09</v>
      </c>
      <c r="F2973" s="2">
        <v>49.9</v>
      </c>
      <c r="G2973" s="4">
        <v>44461.093072118056</v>
      </c>
      <c r="H2973" s="8">
        <v>44461.0</v>
      </c>
    </row>
    <row r="2974">
      <c r="A2974" s="2">
        <v>0.27</v>
      </c>
      <c r="B2974" s="2">
        <v>234.6</v>
      </c>
      <c r="C2974" s="2">
        <v>4.4</v>
      </c>
      <c r="D2974" s="2">
        <v>2.78</v>
      </c>
      <c r="E2974" s="2">
        <v>0.07</v>
      </c>
      <c r="F2974" s="2">
        <v>49.9</v>
      </c>
      <c r="G2974" s="4">
        <v>44461.093173773144</v>
      </c>
      <c r="H2974" s="8">
        <v>44461.0</v>
      </c>
    </row>
    <row r="2975">
      <c r="A2975" s="2">
        <v>0.26</v>
      </c>
      <c r="B2975" s="2">
        <v>233.6</v>
      </c>
      <c r="C2975" s="2">
        <v>3.9</v>
      </c>
      <c r="D2975" s="2">
        <v>2.78</v>
      </c>
      <c r="E2975" s="2">
        <v>0.06</v>
      </c>
      <c r="F2975" s="2">
        <v>50.0</v>
      </c>
      <c r="G2975" s="4">
        <v>44461.09328313658</v>
      </c>
      <c r="H2975" s="8">
        <v>44461.0</v>
      </c>
    </row>
    <row r="2976">
      <c r="A2976" s="2">
        <v>0.27</v>
      </c>
      <c r="B2976" s="2">
        <v>233.8</v>
      </c>
      <c r="C2976" s="2">
        <v>4.1</v>
      </c>
      <c r="D2976" s="2">
        <v>2.78</v>
      </c>
      <c r="E2976" s="2">
        <v>0.07</v>
      </c>
      <c r="F2976" s="2">
        <v>50.0</v>
      </c>
      <c r="G2976" s="4">
        <v>44461.09340010417</v>
      </c>
      <c r="H2976" s="8">
        <v>44461.0</v>
      </c>
    </row>
    <row r="2977">
      <c r="A2977" s="2">
        <v>0.27</v>
      </c>
      <c r="B2977" s="2">
        <v>233.8</v>
      </c>
      <c r="C2977" s="2">
        <v>4.9</v>
      </c>
      <c r="D2977" s="2">
        <v>2.78</v>
      </c>
      <c r="E2977" s="2">
        <v>0.08</v>
      </c>
      <c r="F2977" s="2">
        <v>50.0</v>
      </c>
      <c r="G2977" s="4">
        <v>44461.09350741898</v>
      </c>
      <c r="H2977" s="8">
        <v>44461.0</v>
      </c>
    </row>
    <row r="2978">
      <c r="A2978" s="2">
        <v>0.26</v>
      </c>
      <c r="B2978" s="2">
        <v>233.8</v>
      </c>
      <c r="C2978" s="2">
        <v>3.6</v>
      </c>
      <c r="D2978" s="2">
        <v>2.78</v>
      </c>
      <c r="E2978" s="2">
        <v>0.06</v>
      </c>
      <c r="F2978" s="2">
        <v>50.0</v>
      </c>
      <c r="G2978" s="4">
        <v>44461.09361674769</v>
      </c>
      <c r="H2978" s="8">
        <v>44461.0</v>
      </c>
    </row>
    <row r="2979">
      <c r="A2979" s="2">
        <v>0.27</v>
      </c>
      <c r="B2979" s="2">
        <v>234.0</v>
      </c>
      <c r="C2979" s="2">
        <v>6.4</v>
      </c>
      <c r="D2979" s="2">
        <v>2.78</v>
      </c>
      <c r="E2979" s="2">
        <v>0.1</v>
      </c>
      <c r="F2979" s="2">
        <v>50.0</v>
      </c>
      <c r="G2979" s="4">
        <v>44461.09372607639</v>
      </c>
      <c r="H2979" s="8">
        <v>44461.0</v>
      </c>
    </row>
    <row r="2980">
      <c r="A2980" s="2">
        <v>0.27</v>
      </c>
      <c r="B2980" s="2">
        <v>234.2</v>
      </c>
      <c r="C2980" s="2">
        <v>4.5</v>
      </c>
      <c r="D2980" s="2">
        <v>2.78</v>
      </c>
      <c r="E2980" s="2">
        <v>0.07</v>
      </c>
      <c r="F2980" s="2">
        <v>50.0</v>
      </c>
      <c r="G2980" s="4">
        <v>44461.093841435184</v>
      </c>
      <c r="H2980" s="8">
        <v>44461.0</v>
      </c>
    </row>
    <row r="2981">
      <c r="A2981" s="2">
        <v>0.29</v>
      </c>
      <c r="B2981" s="2">
        <v>234.2</v>
      </c>
      <c r="C2981" s="2">
        <v>10.1</v>
      </c>
      <c r="D2981" s="2">
        <v>2.78</v>
      </c>
      <c r="E2981" s="2">
        <v>0.15</v>
      </c>
      <c r="F2981" s="2">
        <v>50.0</v>
      </c>
      <c r="G2981" s="4">
        <v>44461.09395210649</v>
      </c>
      <c r="H2981" s="8">
        <v>44461.0</v>
      </c>
    </row>
    <row r="2982">
      <c r="A2982" s="2">
        <v>0.27</v>
      </c>
      <c r="B2982" s="2">
        <v>234.1</v>
      </c>
      <c r="C2982" s="2">
        <v>7.2</v>
      </c>
      <c r="D2982" s="2">
        <v>2.78</v>
      </c>
      <c r="E2982" s="2">
        <v>0.11</v>
      </c>
      <c r="F2982" s="2">
        <v>50.0</v>
      </c>
      <c r="G2982" s="4">
        <v>44461.09406265046</v>
      </c>
      <c r="H2982" s="8">
        <v>44461.0</v>
      </c>
    </row>
    <row r="2983">
      <c r="A2983" s="2">
        <v>0.29</v>
      </c>
      <c r="B2983" s="2">
        <v>234.1</v>
      </c>
      <c r="C2983" s="2">
        <v>9.1</v>
      </c>
      <c r="D2983" s="2">
        <v>2.78</v>
      </c>
      <c r="E2983" s="2">
        <v>0.13</v>
      </c>
      <c r="F2983" s="2">
        <v>50.0</v>
      </c>
      <c r="G2983" s="4">
        <v>44461.09417334491</v>
      </c>
      <c r="H2983" s="8">
        <v>44461.0</v>
      </c>
    </row>
    <row r="2984">
      <c r="A2984" s="2">
        <v>0.29</v>
      </c>
      <c r="B2984" s="2">
        <v>234.1</v>
      </c>
      <c r="C2984" s="2">
        <v>10.6</v>
      </c>
      <c r="D2984" s="2">
        <v>2.78</v>
      </c>
      <c r="E2984" s="2">
        <v>0.16</v>
      </c>
      <c r="F2984" s="2">
        <v>50.0</v>
      </c>
      <c r="G2984" s="4">
        <v>44461.094282245365</v>
      </c>
      <c r="H2984" s="8">
        <v>44461.0</v>
      </c>
    </row>
    <row r="2985">
      <c r="A2985" s="2">
        <v>0.29</v>
      </c>
      <c r="B2985" s="2">
        <v>234.0</v>
      </c>
      <c r="C2985" s="2">
        <v>9.1</v>
      </c>
      <c r="D2985" s="2">
        <v>2.78</v>
      </c>
      <c r="E2985" s="2">
        <v>0.14</v>
      </c>
      <c r="F2985" s="2">
        <v>50.0</v>
      </c>
      <c r="G2985" s="4">
        <v>44461.09439033565</v>
      </c>
      <c r="H2985" s="8">
        <v>44461.0</v>
      </c>
    </row>
    <row r="2986">
      <c r="A2986" s="2">
        <v>0.28</v>
      </c>
      <c r="B2986" s="2">
        <v>234.1</v>
      </c>
      <c r="C2986" s="2">
        <v>6.3</v>
      </c>
      <c r="D2986" s="2">
        <v>2.78</v>
      </c>
      <c r="E2986" s="2">
        <v>0.1</v>
      </c>
      <c r="F2986" s="2">
        <v>50.0</v>
      </c>
      <c r="G2986" s="4">
        <v>44461.094496481484</v>
      </c>
      <c r="H2986" s="8">
        <v>44461.0</v>
      </c>
    </row>
    <row r="2987">
      <c r="A2987" s="2">
        <v>0.27</v>
      </c>
      <c r="B2987" s="2">
        <v>234.1</v>
      </c>
      <c r="C2987" s="2">
        <v>4.5</v>
      </c>
      <c r="D2987" s="2">
        <v>2.78</v>
      </c>
      <c r="E2987" s="2">
        <v>0.07</v>
      </c>
      <c r="F2987" s="2">
        <v>50.0</v>
      </c>
      <c r="G2987" s="4">
        <v>44461.09460556713</v>
      </c>
      <c r="H2987" s="8">
        <v>44461.0</v>
      </c>
    </row>
    <row r="2988">
      <c r="A2988" s="2">
        <v>0.28</v>
      </c>
      <c r="B2988" s="2">
        <v>234.3</v>
      </c>
      <c r="C2988" s="2">
        <v>6.1</v>
      </c>
      <c r="D2988" s="2">
        <v>2.78</v>
      </c>
      <c r="E2988" s="2">
        <v>0.09</v>
      </c>
      <c r="F2988" s="2">
        <v>50.0</v>
      </c>
      <c r="G2988" s="4">
        <v>44461.0947193287</v>
      </c>
      <c r="H2988" s="8">
        <v>44461.0</v>
      </c>
    </row>
    <row r="2989">
      <c r="A2989" s="2">
        <v>0.27</v>
      </c>
      <c r="B2989" s="2">
        <v>234.3</v>
      </c>
      <c r="C2989" s="2">
        <v>4.6</v>
      </c>
      <c r="D2989" s="2">
        <v>2.78</v>
      </c>
      <c r="E2989" s="2">
        <v>0.07</v>
      </c>
      <c r="F2989" s="2">
        <v>50.0</v>
      </c>
      <c r="G2989" s="4">
        <v>44461.09482828704</v>
      </c>
      <c r="H2989" s="8">
        <v>44461.0</v>
      </c>
    </row>
    <row r="2990">
      <c r="A2990" s="2">
        <v>0.27</v>
      </c>
      <c r="B2990" s="2">
        <v>234.3</v>
      </c>
      <c r="C2990" s="2">
        <v>5.2</v>
      </c>
      <c r="D2990" s="2">
        <v>2.78</v>
      </c>
      <c r="E2990" s="2">
        <v>0.08</v>
      </c>
      <c r="F2990" s="2">
        <v>50.0</v>
      </c>
      <c r="G2990" s="4">
        <v>44461.094943275464</v>
      </c>
      <c r="H2990" s="8">
        <v>44461.0</v>
      </c>
    </row>
    <row r="2991">
      <c r="A2991" s="2">
        <v>0.27</v>
      </c>
      <c r="B2991" s="2">
        <v>234.4</v>
      </c>
      <c r="C2991" s="2">
        <v>5.5</v>
      </c>
      <c r="D2991" s="2">
        <v>2.78</v>
      </c>
      <c r="E2991" s="2">
        <v>0.09</v>
      </c>
      <c r="F2991" s="2">
        <v>50.0</v>
      </c>
      <c r="G2991" s="4">
        <v>44461.09504734953</v>
      </c>
      <c r="H2991" s="8">
        <v>44461.0</v>
      </c>
    </row>
    <row r="2992">
      <c r="A2992" s="2">
        <v>0.26</v>
      </c>
      <c r="B2992" s="2">
        <v>234.5</v>
      </c>
      <c r="C2992" s="2">
        <v>3.4</v>
      </c>
      <c r="D2992" s="2">
        <v>2.78</v>
      </c>
      <c r="E2992" s="2">
        <v>0.05</v>
      </c>
      <c r="F2992" s="2">
        <v>50.0</v>
      </c>
      <c r="G2992" s="4">
        <v>44461.095150312496</v>
      </c>
      <c r="H2992" s="8">
        <v>44461.0</v>
      </c>
    </row>
    <row r="2993">
      <c r="A2993" s="2">
        <v>0.28</v>
      </c>
      <c r="B2993" s="2">
        <v>234.4</v>
      </c>
      <c r="C2993" s="2">
        <v>8.8</v>
      </c>
      <c r="D2993" s="2">
        <v>2.78</v>
      </c>
      <c r="E2993" s="2">
        <v>0.13</v>
      </c>
      <c r="F2993" s="2">
        <v>50.0</v>
      </c>
      <c r="G2993" s="4">
        <v>44461.09525174768</v>
      </c>
      <c r="H2993" s="8">
        <v>44461.0</v>
      </c>
    </row>
    <row r="2994">
      <c r="A2994" s="2">
        <v>0.3</v>
      </c>
      <c r="B2994" s="2">
        <v>234.3</v>
      </c>
      <c r="C2994" s="2">
        <v>10.7</v>
      </c>
      <c r="D2994" s="2">
        <v>2.78</v>
      </c>
      <c r="E2994" s="2">
        <v>0.15</v>
      </c>
      <c r="F2994" s="2">
        <v>50.0</v>
      </c>
      <c r="G2994" s="4">
        <v>44461.095360231484</v>
      </c>
      <c r="H2994" s="8">
        <v>44461.0</v>
      </c>
    </row>
    <row r="2995">
      <c r="A2995" s="2">
        <v>0.29</v>
      </c>
      <c r="B2995" s="2">
        <v>234.2</v>
      </c>
      <c r="C2995" s="2">
        <v>9.7</v>
      </c>
      <c r="D2995" s="2">
        <v>2.78</v>
      </c>
      <c r="E2995" s="2">
        <v>0.14</v>
      </c>
      <c r="F2995" s="2">
        <v>50.0</v>
      </c>
      <c r="G2995" s="4">
        <v>44461.09546538194</v>
      </c>
      <c r="H2995" s="8">
        <v>44461.0</v>
      </c>
    </row>
    <row r="2996">
      <c r="A2996" s="2">
        <v>0.29</v>
      </c>
      <c r="B2996" s="2">
        <v>234.3</v>
      </c>
      <c r="C2996" s="2">
        <v>8.3</v>
      </c>
      <c r="D2996" s="2">
        <v>2.78</v>
      </c>
      <c r="E2996" s="2">
        <v>0.12</v>
      </c>
      <c r="F2996" s="2">
        <v>50.0</v>
      </c>
      <c r="G2996" s="4">
        <v>44461.09556930556</v>
      </c>
      <c r="H2996" s="8">
        <v>44461.0</v>
      </c>
    </row>
    <row r="2997">
      <c r="A2997" s="2">
        <v>0.27</v>
      </c>
      <c r="B2997" s="2">
        <v>234.1</v>
      </c>
      <c r="C2997" s="2">
        <v>5.0</v>
      </c>
      <c r="D2997" s="2">
        <v>2.78</v>
      </c>
      <c r="E2997" s="2">
        <v>0.08</v>
      </c>
      <c r="F2997" s="2">
        <v>50.0</v>
      </c>
      <c r="G2997" s="4">
        <v>44461.09567224537</v>
      </c>
      <c r="H2997" s="8">
        <v>44461.0</v>
      </c>
    </row>
    <row r="2998">
      <c r="A2998" s="2">
        <v>0.26</v>
      </c>
      <c r="B2998" s="2">
        <v>233.8</v>
      </c>
      <c r="C2998" s="2">
        <v>3.7</v>
      </c>
      <c r="D2998" s="2">
        <v>2.78</v>
      </c>
      <c r="E2998" s="2">
        <v>0.06</v>
      </c>
      <c r="F2998" s="2">
        <v>50.0</v>
      </c>
      <c r="G2998" s="4">
        <v>44461.095778773146</v>
      </c>
      <c r="H2998" s="8">
        <v>44461.0</v>
      </c>
    </row>
    <row r="2999">
      <c r="A2999" s="2">
        <v>0.27</v>
      </c>
      <c r="B2999" s="2">
        <v>233.8</v>
      </c>
      <c r="C2999" s="2">
        <v>4.4</v>
      </c>
      <c r="D2999" s="2">
        <v>2.78</v>
      </c>
      <c r="E2999" s="2">
        <v>0.07</v>
      </c>
      <c r="F2999" s="2">
        <v>50.0</v>
      </c>
      <c r="G2999" s="4">
        <v>44461.095886435185</v>
      </c>
      <c r="H2999" s="8">
        <v>44461.0</v>
      </c>
    </row>
    <row r="3000">
      <c r="A3000" s="2">
        <v>0.26</v>
      </c>
      <c r="B3000" s="2">
        <v>233.7</v>
      </c>
      <c r="C3000" s="2">
        <v>4.3</v>
      </c>
      <c r="D3000" s="2">
        <v>2.78</v>
      </c>
      <c r="E3000" s="2">
        <v>0.07</v>
      </c>
      <c r="F3000" s="2">
        <v>50.0</v>
      </c>
      <c r="G3000" s="4">
        <v>44461.095993298615</v>
      </c>
      <c r="H3000" s="8">
        <v>44461.0</v>
      </c>
    </row>
    <row r="3001">
      <c r="A3001" s="2">
        <v>0.28</v>
      </c>
      <c r="B3001" s="2">
        <v>234.0</v>
      </c>
      <c r="C3001" s="2">
        <v>9.0</v>
      </c>
      <c r="D3001" s="2">
        <v>2.78</v>
      </c>
      <c r="E3001" s="2">
        <v>0.14</v>
      </c>
      <c r="F3001" s="2">
        <v>49.9</v>
      </c>
      <c r="G3001" s="4">
        <v>44461.096097685186</v>
      </c>
      <c r="H3001" s="8">
        <v>44461.0</v>
      </c>
    </row>
    <row r="3002">
      <c r="A3002" s="2">
        <v>0.29</v>
      </c>
      <c r="B3002" s="2">
        <v>233.9</v>
      </c>
      <c r="C3002" s="2">
        <v>8.4</v>
      </c>
      <c r="D3002" s="2">
        <v>2.78</v>
      </c>
      <c r="E3002" s="2">
        <v>0.13</v>
      </c>
      <c r="F3002" s="2">
        <v>49.9</v>
      </c>
      <c r="G3002" s="4">
        <v>44461.09620328704</v>
      </c>
      <c r="H3002" s="8">
        <v>44461.0</v>
      </c>
    </row>
    <row r="3003">
      <c r="A3003" s="2">
        <v>0.29</v>
      </c>
      <c r="B3003" s="2">
        <v>233.8</v>
      </c>
      <c r="C3003" s="2">
        <v>11.1</v>
      </c>
      <c r="D3003" s="2">
        <v>2.78</v>
      </c>
      <c r="E3003" s="2">
        <v>0.16</v>
      </c>
      <c r="F3003" s="2">
        <v>49.9</v>
      </c>
      <c r="G3003" s="4">
        <v>44461.096311863424</v>
      </c>
      <c r="H3003" s="8">
        <v>44461.0</v>
      </c>
    </row>
    <row r="3004">
      <c r="A3004" s="2">
        <v>0.28</v>
      </c>
      <c r="B3004" s="2">
        <v>234.0</v>
      </c>
      <c r="C3004" s="2">
        <v>7.1</v>
      </c>
      <c r="D3004" s="2">
        <v>2.78</v>
      </c>
      <c r="E3004" s="2">
        <v>0.11</v>
      </c>
      <c r="F3004" s="2">
        <v>49.9</v>
      </c>
      <c r="G3004" s="4">
        <v>44461.09642268519</v>
      </c>
      <c r="H3004" s="8">
        <v>44461.0</v>
      </c>
    </row>
    <row r="3005">
      <c r="A3005" s="2">
        <v>0.27</v>
      </c>
      <c r="B3005" s="2">
        <v>234.0</v>
      </c>
      <c r="C3005" s="2">
        <v>4.9</v>
      </c>
      <c r="D3005" s="2">
        <v>2.78</v>
      </c>
      <c r="E3005" s="2">
        <v>0.08</v>
      </c>
      <c r="F3005" s="2">
        <v>49.9</v>
      </c>
      <c r="G3005" s="4">
        <v>44461.09653207176</v>
      </c>
      <c r="H3005" s="8">
        <v>44461.0</v>
      </c>
    </row>
    <row r="3006">
      <c r="A3006" s="2">
        <v>0.28</v>
      </c>
      <c r="B3006" s="2">
        <v>233.7</v>
      </c>
      <c r="C3006" s="2">
        <v>6.3</v>
      </c>
      <c r="D3006" s="2">
        <v>2.78</v>
      </c>
      <c r="E3006" s="2">
        <v>0.1</v>
      </c>
      <c r="F3006" s="2">
        <v>50.0</v>
      </c>
      <c r="G3006" s="4">
        <v>44461.09664351852</v>
      </c>
      <c r="H3006" s="8">
        <v>44461.0</v>
      </c>
    </row>
    <row r="3007">
      <c r="A3007" s="2">
        <v>0.29</v>
      </c>
      <c r="B3007" s="2">
        <v>233.8</v>
      </c>
      <c r="C3007" s="2">
        <v>8.3</v>
      </c>
      <c r="D3007" s="2">
        <v>2.78</v>
      </c>
      <c r="E3007" s="2">
        <v>0.12</v>
      </c>
      <c r="F3007" s="2">
        <v>50.0</v>
      </c>
      <c r="G3007" s="4">
        <v>44461.096757673615</v>
      </c>
      <c r="H3007" s="8">
        <v>44461.0</v>
      </c>
    </row>
    <row r="3008">
      <c r="A3008" s="2">
        <v>0.28</v>
      </c>
      <c r="B3008" s="2">
        <v>233.9</v>
      </c>
      <c r="C3008" s="2">
        <v>6.4</v>
      </c>
      <c r="D3008" s="2">
        <v>2.78</v>
      </c>
      <c r="E3008" s="2">
        <v>0.1</v>
      </c>
      <c r="F3008" s="2">
        <v>50.0</v>
      </c>
      <c r="G3008" s="4">
        <v>44461.0968612037</v>
      </c>
      <c r="H3008" s="8">
        <v>44461.0</v>
      </c>
    </row>
    <row r="3009">
      <c r="A3009" s="2">
        <v>0.27</v>
      </c>
      <c r="B3009" s="2">
        <v>233.9</v>
      </c>
      <c r="C3009" s="2">
        <v>4.1</v>
      </c>
      <c r="D3009" s="2">
        <v>2.78</v>
      </c>
      <c r="E3009" s="2">
        <v>0.07</v>
      </c>
      <c r="F3009" s="2">
        <v>50.0</v>
      </c>
      <c r="G3009" s="4">
        <v>44461.09696502315</v>
      </c>
      <c r="H3009" s="8">
        <v>44461.0</v>
      </c>
    </row>
    <row r="3010">
      <c r="A3010" s="2">
        <v>0.27</v>
      </c>
      <c r="B3010" s="2">
        <v>233.9</v>
      </c>
      <c r="C3010" s="2">
        <v>4.6</v>
      </c>
      <c r="D3010" s="2">
        <v>2.78</v>
      </c>
      <c r="E3010" s="2">
        <v>0.07</v>
      </c>
      <c r="F3010" s="2">
        <v>50.0</v>
      </c>
      <c r="G3010" s="4">
        <v>44461.097069675925</v>
      </c>
      <c r="H3010" s="8">
        <v>44461.0</v>
      </c>
    </row>
    <row r="3011">
      <c r="A3011" s="2">
        <v>0.27</v>
      </c>
      <c r="B3011" s="2">
        <v>233.9</v>
      </c>
      <c r="C3011" s="2">
        <v>6.3</v>
      </c>
      <c r="D3011" s="2">
        <v>2.78</v>
      </c>
      <c r="E3011" s="2">
        <v>0.1</v>
      </c>
      <c r="F3011" s="2">
        <v>50.0</v>
      </c>
      <c r="G3011" s="4">
        <v>44461.09718355324</v>
      </c>
      <c r="H3011" s="8">
        <v>44461.0</v>
      </c>
    </row>
    <row r="3012">
      <c r="A3012" s="2">
        <v>0.28</v>
      </c>
      <c r="B3012" s="2">
        <v>234.1</v>
      </c>
      <c r="C3012" s="2">
        <v>6.2</v>
      </c>
      <c r="D3012" s="2">
        <v>2.78</v>
      </c>
      <c r="E3012" s="2">
        <v>0.1</v>
      </c>
      <c r="F3012" s="2">
        <v>50.0</v>
      </c>
      <c r="G3012" s="4">
        <v>44461.09732501158</v>
      </c>
      <c r="H3012" s="8">
        <v>44461.0</v>
      </c>
    </row>
    <row r="3013">
      <c r="A3013" s="2">
        <v>0.27</v>
      </c>
      <c r="B3013" s="2">
        <v>234.2</v>
      </c>
      <c r="C3013" s="2">
        <v>4.6</v>
      </c>
      <c r="D3013" s="2">
        <v>2.78</v>
      </c>
      <c r="E3013" s="2">
        <v>0.07</v>
      </c>
      <c r="F3013" s="2">
        <v>50.0</v>
      </c>
      <c r="G3013" s="4">
        <v>44461.097434421295</v>
      </c>
      <c r="H3013" s="8">
        <v>44461.0</v>
      </c>
    </row>
    <row r="3014">
      <c r="A3014" s="2">
        <v>0.27</v>
      </c>
      <c r="B3014" s="2">
        <v>234.3</v>
      </c>
      <c r="C3014" s="2">
        <v>5.7</v>
      </c>
      <c r="D3014" s="2">
        <v>2.78</v>
      </c>
      <c r="E3014" s="2">
        <v>0.09</v>
      </c>
      <c r="F3014" s="2">
        <v>50.0</v>
      </c>
      <c r="G3014" s="4">
        <v>44461.09754616898</v>
      </c>
      <c r="H3014" s="8">
        <v>44461.0</v>
      </c>
    </row>
    <row r="3015">
      <c r="A3015" s="2">
        <v>0.27</v>
      </c>
      <c r="B3015" s="2">
        <v>234.2</v>
      </c>
      <c r="C3015" s="2">
        <v>4.3</v>
      </c>
      <c r="D3015" s="2">
        <v>2.78</v>
      </c>
      <c r="E3015" s="2">
        <v>0.07</v>
      </c>
      <c r="F3015" s="2">
        <v>50.0</v>
      </c>
      <c r="G3015" s="4">
        <v>44461.097650219905</v>
      </c>
      <c r="H3015" s="8">
        <v>44461.0</v>
      </c>
    </row>
    <row r="3016">
      <c r="A3016" s="2">
        <v>0.27</v>
      </c>
      <c r="B3016" s="2">
        <v>234.1</v>
      </c>
      <c r="C3016" s="2">
        <v>4.4</v>
      </c>
      <c r="D3016" s="2">
        <v>2.78</v>
      </c>
      <c r="E3016" s="2">
        <v>0.07</v>
      </c>
      <c r="F3016" s="2">
        <v>50.0</v>
      </c>
      <c r="G3016" s="4">
        <v>44461.0977537037</v>
      </c>
      <c r="H3016" s="8">
        <v>44461.0</v>
      </c>
    </row>
    <row r="3017">
      <c r="A3017" s="2">
        <v>0.27</v>
      </c>
      <c r="B3017" s="2">
        <v>234.1</v>
      </c>
      <c r="C3017" s="2">
        <v>5.3</v>
      </c>
      <c r="D3017" s="2">
        <v>2.78</v>
      </c>
      <c r="E3017" s="2">
        <v>0.08</v>
      </c>
      <c r="F3017" s="2">
        <v>49.9</v>
      </c>
      <c r="G3017" s="4">
        <v>44461.097884710645</v>
      </c>
      <c r="H3017" s="8">
        <v>44461.0</v>
      </c>
    </row>
    <row r="3018">
      <c r="A3018" s="2">
        <v>0.27</v>
      </c>
      <c r="B3018" s="2">
        <v>234.0</v>
      </c>
      <c r="C3018" s="2">
        <v>4.5</v>
      </c>
      <c r="D3018" s="2">
        <v>2.78</v>
      </c>
      <c r="E3018" s="2">
        <v>0.07</v>
      </c>
      <c r="F3018" s="2">
        <v>49.9</v>
      </c>
      <c r="G3018" s="4">
        <v>44461.09799171296</v>
      </c>
      <c r="H3018" s="8">
        <v>44461.0</v>
      </c>
    </row>
    <row r="3019">
      <c r="A3019" s="2">
        <v>0.27</v>
      </c>
      <c r="B3019" s="2">
        <v>233.7</v>
      </c>
      <c r="C3019" s="2">
        <v>4.3</v>
      </c>
      <c r="D3019" s="2">
        <v>2.78</v>
      </c>
      <c r="E3019" s="2">
        <v>0.07</v>
      </c>
      <c r="F3019" s="2">
        <v>49.9</v>
      </c>
      <c r="G3019" s="4">
        <v>44461.09809921296</v>
      </c>
      <c r="H3019" s="8">
        <v>44461.0</v>
      </c>
    </row>
    <row r="3020">
      <c r="A3020" s="2">
        <v>0.27</v>
      </c>
      <c r="B3020" s="2">
        <v>233.7</v>
      </c>
      <c r="C3020" s="2">
        <v>4.4</v>
      </c>
      <c r="D3020" s="2">
        <v>2.78</v>
      </c>
      <c r="E3020" s="2">
        <v>0.07</v>
      </c>
      <c r="F3020" s="2">
        <v>49.9</v>
      </c>
      <c r="G3020" s="4">
        <v>44461.09820944445</v>
      </c>
      <c r="H3020" s="8">
        <v>44461.0</v>
      </c>
    </row>
    <row r="3021">
      <c r="A3021" s="2">
        <v>0.27</v>
      </c>
      <c r="B3021" s="2">
        <v>233.7</v>
      </c>
      <c r="C3021" s="2">
        <v>4.6</v>
      </c>
      <c r="D3021" s="2">
        <v>2.78</v>
      </c>
      <c r="E3021" s="2">
        <v>0.07</v>
      </c>
      <c r="F3021" s="2">
        <v>50.0</v>
      </c>
      <c r="G3021" s="4">
        <v>44461.09831253473</v>
      </c>
      <c r="H3021" s="8">
        <v>44461.0</v>
      </c>
    </row>
    <row r="3022">
      <c r="A3022" s="2">
        <v>0.26</v>
      </c>
      <c r="B3022" s="2">
        <v>234.0</v>
      </c>
      <c r="C3022" s="2">
        <v>4.0</v>
      </c>
      <c r="D3022" s="2">
        <v>2.78</v>
      </c>
      <c r="E3022" s="2">
        <v>0.06</v>
      </c>
      <c r="F3022" s="2">
        <v>50.0</v>
      </c>
      <c r="G3022" s="4">
        <v>44461.09841590278</v>
      </c>
      <c r="H3022" s="8">
        <v>44461.0</v>
      </c>
    </row>
    <row r="3023">
      <c r="A3023" s="2">
        <v>0.28</v>
      </c>
      <c r="B3023" s="2">
        <v>233.9</v>
      </c>
      <c r="C3023" s="2">
        <v>8.8</v>
      </c>
      <c r="D3023" s="2">
        <v>2.78</v>
      </c>
      <c r="E3023" s="2">
        <v>0.13</v>
      </c>
      <c r="F3023" s="2">
        <v>50.0</v>
      </c>
      <c r="G3023" s="4">
        <v>44461.09852518518</v>
      </c>
      <c r="H3023" s="8">
        <v>44461.0</v>
      </c>
    </row>
    <row r="3024">
      <c r="A3024" s="2">
        <v>0.26</v>
      </c>
      <c r="B3024" s="2">
        <v>234.2</v>
      </c>
      <c r="C3024" s="2">
        <v>4.8</v>
      </c>
      <c r="D3024" s="2">
        <v>2.78</v>
      </c>
      <c r="E3024" s="2">
        <v>0.08</v>
      </c>
      <c r="F3024" s="2">
        <v>49.9</v>
      </c>
      <c r="G3024" s="4">
        <v>44461.098640763885</v>
      </c>
      <c r="H3024" s="8">
        <v>44461.0</v>
      </c>
    </row>
    <row r="3025">
      <c r="A3025" s="2">
        <v>0.29</v>
      </c>
      <c r="B3025" s="2">
        <v>234.1</v>
      </c>
      <c r="C3025" s="2">
        <v>10.8</v>
      </c>
      <c r="D3025" s="2">
        <v>2.78</v>
      </c>
      <c r="E3025" s="2">
        <v>0.16</v>
      </c>
      <c r="F3025" s="2">
        <v>50.0</v>
      </c>
      <c r="G3025" s="4">
        <v>44461.09874821759</v>
      </c>
      <c r="H3025" s="8">
        <v>44461.0</v>
      </c>
    </row>
    <row r="3026">
      <c r="A3026" s="2">
        <v>0.29</v>
      </c>
      <c r="B3026" s="2">
        <v>234.3</v>
      </c>
      <c r="C3026" s="2">
        <v>8.3</v>
      </c>
      <c r="D3026" s="2">
        <v>2.78</v>
      </c>
      <c r="E3026" s="2">
        <v>0.12</v>
      </c>
      <c r="F3026" s="2">
        <v>50.0</v>
      </c>
      <c r="G3026" s="4">
        <v>44461.09885891204</v>
      </c>
      <c r="H3026" s="8">
        <v>44461.0</v>
      </c>
    </row>
    <row r="3027">
      <c r="A3027" s="2">
        <v>0.29</v>
      </c>
      <c r="B3027" s="2">
        <v>234.2</v>
      </c>
      <c r="C3027" s="2">
        <v>9.4</v>
      </c>
      <c r="D3027" s="2">
        <v>2.78</v>
      </c>
      <c r="E3027" s="2">
        <v>0.14</v>
      </c>
      <c r="F3027" s="2">
        <v>50.0</v>
      </c>
      <c r="G3027" s="4">
        <v>44461.09896351852</v>
      </c>
      <c r="H3027" s="8">
        <v>44461.0</v>
      </c>
    </row>
    <row r="3028">
      <c r="A3028" s="2">
        <v>0.28</v>
      </c>
      <c r="B3028" s="2">
        <v>234.3</v>
      </c>
      <c r="C3028" s="2">
        <v>6.4</v>
      </c>
      <c r="D3028" s="2">
        <v>2.78</v>
      </c>
      <c r="E3028" s="2">
        <v>0.1</v>
      </c>
      <c r="F3028" s="2">
        <v>50.0</v>
      </c>
      <c r="G3028" s="4">
        <v>44461.09907431713</v>
      </c>
      <c r="H3028" s="8">
        <v>44461.0</v>
      </c>
    </row>
    <row r="3029">
      <c r="A3029" s="2">
        <v>0.27</v>
      </c>
      <c r="B3029" s="2">
        <v>234.3</v>
      </c>
      <c r="C3029" s="2">
        <v>4.7</v>
      </c>
      <c r="D3029" s="2">
        <v>2.78</v>
      </c>
      <c r="E3029" s="2">
        <v>0.07</v>
      </c>
      <c r="F3029" s="2">
        <v>50.0</v>
      </c>
      <c r="G3029" s="4">
        <v>44461.0991827199</v>
      </c>
      <c r="H3029" s="8">
        <v>44461.0</v>
      </c>
    </row>
    <row r="3030">
      <c r="A3030" s="2">
        <v>0.27</v>
      </c>
      <c r="B3030" s="2">
        <v>234.3</v>
      </c>
      <c r="C3030" s="2">
        <v>5.0</v>
      </c>
      <c r="D3030" s="2">
        <v>2.78</v>
      </c>
      <c r="E3030" s="2">
        <v>0.08</v>
      </c>
      <c r="F3030" s="2">
        <v>50.0</v>
      </c>
      <c r="G3030" s="4">
        <v>44461.099287881945</v>
      </c>
      <c r="H3030" s="8">
        <v>44461.0</v>
      </c>
    </row>
    <row r="3031">
      <c r="A3031" s="2">
        <v>0.27</v>
      </c>
      <c r="B3031" s="2">
        <v>234.1</v>
      </c>
      <c r="C3031" s="2">
        <v>6.8</v>
      </c>
      <c r="D3031" s="2">
        <v>2.78</v>
      </c>
      <c r="E3031" s="2">
        <v>0.11</v>
      </c>
      <c r="F3031" s="2">
        <v>50.0</v>
      </c>
      <c r="G3031" s="4">
        <v>44461.099390069445</v>
      </c>
      <c r="H3031" s="8">
        <v>44461.0</v>
      </c>
    </row>
    <row r="3032">
      <c r="A3032" s="2">
        <v>0.29</v>
      </c>
      <c r="B3032" s="2">
        <v>234.1</v>
      </c>
      <c r="C3032" s="2">
        <v>10.0</v>
      </c>
      <c r="D3032" s="2">
        <v>2.78</v>
      </c>
      <c r="E3032" s="2">
        <v>0.15</v>
      </c>
      <c r="F3032" s="2">
        <v>49.9</v>
      </c>
      <c r="G3032" s="4">
        <v>44461.0994937963</v>
      </c>
      <c r="H3032" s="8">
        <v>44461.0</v>
      </c>
    </row>
    <row r="3033">
      <c r="A3033" s="2">
        <v>0.29</v>
      </c>
      <c r="B3033" s="2">
        <v>234.1</v>
      </c>
      <c r="C3033" s="2">
        <v>9.9</v>
      </c>
      <c r="D3033" s="2">
        <v>2.78</v>
      </c>
      <c r="E3033" s="2">
        <v>0.15</v>
      </c>
      <c r="F3033" s="2">
        <v>49.9</v>
      </c>
      <c r="G3033" s="4">
        <v>44461.09959915509</v>
      </c>
      <c r="H3033" s="8">
        <v>44461.0</v>
      </c>
    </row>
    <row r="3034">
      <c r="A3034" s="2">
        <v>0.28</v>
      </c>
      <c r="B3034" s="2">
        <v>234.1</v>
      </c>
      <c r="C3034" s="2">
        <v>7.4</v>
      </c>
      <c r="D3034" s="2">
        <v>2.78</v>
      </c>
      <c r="E3034" s="2">
        <v>0.11</v>
      </c>
      <c r="F3034" s="2">
        <v>50.0</v>
      </c>
      <c r="G3034" s="4">
        <v>44461.099701354164</v>
      </c>
      <c r="H3034" s="8">
        <v>44461.0</v>
      </c>
    </row>
    <row r="3035">
      <c r="A3035" s="2">
        <v>0.28</v>
      </c>
      <c r="B3035" s="2">
        <v>234.0</v>
      </c>
      <c r="C3035" s="2">
        <v>6.0</v>
      </c>
      <c r="D3035" s="2">
        <v>2.78</v>
      </c>
      <c r="E3035" s="2">
        <v>0.09</v>
      </c>
      <c r="F3035" s="2">
        <v>49.9</v>
      </c>
      <c r="G3035" s="4">
        <v>44461.09980881945</v>
      </c>
      <c r="H3035" s="8">
        <v>44461.0</v>
      </c>
    </row>
    <row r="3036">
      <c r="A3036" s="2">
        <v>0.27</v>
      </c>
      <c r="B3036" s="2">
        <v>233.9</v>
      </c>
      <c r="C3036" s="2">
        <v>4.3</v>
      </c>
      <c r="D3036" s="2">
        <v>2.78</v>
      </c>
      <c r="E3036" s="2">
        <v>0.07</v>
      </c>
      <c r="F3036" s="2">
        <v>50.0</v>
      </c>
      <c r="G3036" s="4">
        <v>44461.099911736106</v>
      </c>
      <c r="H3036" s="8">
        <v>44461.0</v>
      </c>
    </row>
    <row r="3037">
      <c r="A3037" s="2">
        <v>0.27</v>
      </c>
      <c r="B3037" s="2">
        <v>233.8</v>
      </c>
      <c r="C3037" s="2">
        <v>4.6</v>
      </c>
      <c r="D3037" s="2">
        <v>2.78</v>
      </c>
      <c r="E3037" s="2">
        <v>0.07</v>
      </c>
      <c r="F3037" s="2">
        <v>50.0</v>
      </c>
      <c r="G3037" s="4">
        <v>44461.10006625</v>
      </c>
      <c r="H3037" s="8">
        <v>44461.0</v>
      </c>
    </row>
    <row r="3038">
      <c r="A3038" s="2">
        <v>0.29</v>
      </c>
      <c r="B3038" s="2">
        <v>233.9</v>
      </c>
      <c r="C3038" s="2">
        <v>10.6</v>
      </c>
      <c r="D3038" s="2">
        <v>2.78</v>
      </c>
      <c r="E3038" s="2">
        <v>0.15</v>
      </c>
      <c r="F3038" s="2">
        <v>49.9</v>
      </c>
      <c r="G3038" s="4">
        <v>44461.100169745376</v>
      </c>
      <c r="H3038" s="8">
        <v>44461.0</v>
      </c>
    </row>
    <row r="3039">
      <c r="A3039" s="2">
        <v>0.28</v>
      </c>
      <c r="B3039" s="2">
        <v>233.8</v>
      </c>
      <c r="C3039" s="2">
        <v>6.0</v>
      </c>
      <c r="D3039" s="2">
        <v>2.78</v>
      </c>
      <c r="E3039" s="2">
        <v>0.09</v>
      </c>
      <c r="F3039" s="2">
        <v>50.0</v>
      </c>
      <c r="G3039" s="4">
        <v>44461.10027733796</v>
      </c>
      <c r="H3039" s="8">
        <v>44461.0</v>
      </c>
    </row>
    <row r="3040">
      <c r="A3040" s="2">
        <v>0.27</v>
      </c>
      <c r="B3040" s="2">
        <v>234.0</v>
      </c>
      <c r="C3040" s="2">
        <v>5.1</v>
      </c>
      <c r="D3040" s="2">
        <v>2.78</v>
      </c>
      <c r="E3040" s="2">
        <v>0.08</v>
      </c>
      <c r="F3040" s="2">
        <v>49.9</v>
      </c>
      <c r="G3040" s="4">
        <v>44461.10038417824</v>
      </c>
      <c r="H3040" s="8">
        <v>44461.0</v>
      </c>
    </row>
    <row r="3041">
      <c r="A3041" s="2">
        <v>0.27</v>
      </c>
      <c r="B3041" s="2">
        <v>234.1</v>
      </c>
      <c r="C3041" s="2">
        <v>5.1</v>
      </c>
      <c r="D3041" s="2">
        <v>2.78</v>
      </c>
      <c r="E3041" s="2">
        <v>0.08</v>
      </c>
      <c r="F3041" s="2">
        <v>50.0</v>
      </c>
      <c r="G3041" s="4">
        <v>44461.1004936574</v>
      </c>
      <c r="H3041" s="8">
        <v>44461.0</v>
      </c>
    </row>
    <row r="3042">
      <c r="A3042" s="2">
        <v>0.27</v>
      </c>
      <c r="B3042" s="2">
        <v>234.0</v>
      </c>
      <c r="C3042" s="2">
        <v>4.8</v>
      </c>
      <c r="D3042" s="2">
        <v>2.78</v>
      </c>
      <c r="E3042" s="2">
        <v>0.08</v>
      </c>
      <c r="F3042" s="2">
        <v>50.0</v>
      </c>
      <c r="G3042" s="4">
        <v>44461.10059931713</v>
      </c>
      <c r="H3042" s="8">
        <v>44461.0</v>
      </c>
    </row>
    <row r="3043">
      <c r="A3043" s="2">
        <v>0.26</v>
      </c>
      <c r="B3043" s="2">
        <v>234.0</v>
      </c>
      <c r="C3043" s="2">
        <v>3.9</v>
      </c>
      <c r="D3043" s="2">
        <v>2.78</v>
      </c>
      <c r="E3043" s="2">
        <v>0.06</v>
      </c>
      <c r="F3043" s="2">
        <v>49.9</v>
      </c>
      <c r="G3043" s="4">
        <v>44461.10070355324</v>
      </c>
      <c r="H3043" s="8">
        <v>44461.0</v>
      </c>
    </row>
    <row r="3044">
      <c r="A3044" s="2">
        <v>0.28</v>
      </c>
      <c r="B3044" s="2">
        <v>234.0</v>
      </c>
      <c r="C3044" s="2">
        <v>7.9</v>
      </c>
      <c r="D3044" s="2">
        <v>2.78</v>
      </c>
      <c r="E3044" s="2">
        <v>0.12</v>
      </c>
      <c r="F3044" s="2">
        <v>50.0</v>
      </c>
      <c r="G3044" s="4">
        <v>44461.10081005787</v>
      </c>
      <c r="H3044" s="8">
        <v>44461.0</v>
      </c>
    </row>
    <row r="3045">
      <c r="A3045" s="2">
        <v>0.27</v>
      </c>
      <c r="B3045" s="2">
        <v>234.1</v>
      </c>
      <c r="C3045" s="2">
        <v>5.5</v>
      </c>
      <c r="D3045" s="2">
        <v>2.78</v>
      </c>
      <c r="E3045" s="2">
        <v>0.09</v>
      </c>
      <c r="F3045" s="2">
        <v>49.9</v>
      </c>
      <c r="G3045" s="4">
        <v>44461.10091893519</v>
      </c>
      <c r="H3045" s="8">
        <v>44461.0</v>
      </c>
    </row>
    <row r="3046">
      <c r="A3046" s="2">
        <v>0.29</v>
      </c>
      <c r="B3046" s="2">
        <v>234.1</v>
      </c>
      <c r="C3046" s="2">
        <v>9.0</v>
      </c>
      <c r="D3046" s="2">
        <v>2.78</v>
      </c>
      <c r="E3046" s="2">
        <v>0.13</v>
      </c>
      <c r="F3046" s="2">
        <v>50.0</v>
      </c>
      <c r="G3046" s="4">
        <v>44461.10102215278</v>
      </c>
      <c r="H3046" s="8">
        <v>44461.0</v>
      </c>
    </row>
    <row r="3047">
      <c r="A3047" s="2">
        <v>0.29</v>
      </c>
      <c r="B3047" s="2">
        <v>233.9</v>
      </c>
      <c r="C3047" s="2">
        <v>8.3</v>
      </c>
      <c r="D3047" s="2">
        <v>2.78</v>
      </c>
      <c r="E3047" s="2">
        <v>0.12</v>
      </c>
      <c r="F3047" s="2">
        <v>50.0</v>
      </c>
      <c r="G3047" s="4">
        <v>44461.10112663194</v>
      </c>
      <c r="H3047" s="8">
        <v>44461.0</v>
      </c>
    </row>
    <row r="3048">
      <c r="A3048" s="2">
        <v>0.27</v>
      </c>
      <c r="B3048" s="2">
        <v>233.9</v>
      </c>
      <c r="C3048" s="2">
        <v>4.8</v>
      </c>
      <c r="D3048" s="2">
        <v>2.78</v>
      </c>
      <c r="E3048" s="2">
        <v>0.08</v>
      </c>
      <c r="F3048" s="2">
        <v>50.0</v>
      </c>
      <c r="G3048" s="4">
        <v>44461.10123189815</v>
      </c>
      <c r="H3048" s="8">
        <v>44461.0</v>
      </c>
    </row>
    <row r="3049">
      <c r="A3049" s="2">
        <v>0.27</v>
      </c>
      <c r="B3049" s="2">
        <v>233.9</v>
      </c>
      <c r="C3049" s="2">
        <v>4.8</v>
      </c>
      <c r="D3049" s="2">
        <v>2.78</v>
      </c>
      <c r="E3049" s="2">
        <v>0.08</v>
      </c>
      <c r="F3049" s="2">
        <v>50.0</v>
      </c>
      <c r="G3049" s="4">
        <v>44461.10133788195</v>
      </c>
      <c r="H3049" s="8">
        <v>44461.0</v>
      </c>
    </row>
    <row r="3050">
      <c r="A3050" s="2">
        <v>0.27</v>
      </c>
      <c r="B3050" s="2">
        <v>233.7</v>
      </c>
      <c r="C3050" s="2">
        <v>5.9</v>
      </c>
      <c r="D3050" s="2">
        <v>2.78</v>
      </c>
      <c r="E3050" s="2">
        <v>0.09</v>
      </c>
      <c r="F3050" s="2">
        <v>50.0</v>
      </c>
      <c r="G3050" s="4">
        <v>44461.101443506945</v>
      </c>
      <c r="H3050" s="8">
        <v>44461.0</v>
      </c>
    </row>
    <row r="3051">
      <c r="A3051" s="2">
        <v>0.29</v>
      </c>
      <c r="B3051" s="2">
        <v>233.7</v>
      </c>
      <c r="C3051" s="2">
        <v>10.4</v>
      </c>
      <c r="D3051" s="2">
        <v>2.78</v>
      </c>
      <c r="E3051" s="2">
        <v>0.15</v>
      </c>
      <c r="F3051" s="2">
        <v>50.0</v>
      </c>
      <c r="G3051" s="4">
        <v>44461.101550590276</v>
      </c>
      <c r="H3051" s="8">
        <v>44461.0</v>
      </c>
    </row>
    <row r="3052">
      <c r="A3052" s="2">
        <v>0.29</v>
      </c>
      <c r="B3052" s="2">
        <v>233.8</v>
      </c>
      <c r="C3052" s="2">
        <v>8.4</v>
      </c>
      <c r="D3052" s="2">
        <v>2.78</v>
      </c>
      <c r="E3052" s="2">
        <v>0.13</v>
      </c>
      <c r="F3052" s="2">
        <v>50.0</v>
      </c>
      <c r="G3052" s="4">
        <v>44461.10165490741</v>
      </c>
      <c r="H3052" s="8">
        <v>44461.0</v>
      </c>
    </row>
    <row r="3053">
      <c r="A3053" s="2">
        <v>0.27</v>
      </c>
      <c r="B3053" s="2">
        <v>233.6</v>
      </c>
      <c r="C3053" s="2">
        <v>4.9</v>
      </c>
      <c r="D3053" s="2">
        <v>2.78</v>
      </c>
      <c r="E3053" s="2">
        <v>0.08</v>
      </c>
      <c r="F3053" s="2">
        <v>50.0</v>
      </c>
      <c r="G3053" s="4">
        <v>44461.10175685185</v>
      </c>
      <c r="H3053" s="8">
        <v>44461.0</v>
      </c>
    </row>
    <row r="3054">
      <c r="A3054" s="2">
        <v>0.27</v>
      </c>
      <c r="B3054" s="2">
        <v>233.8</v>
      </c>
      <c r="C3054" s="2">
        <v>4.6</v>
      </c>
      <c r="D3054" s="2">
        <v>2.78</v>
      </c>
      <c r="E3054" s="2">
        <v>0.07</v>
      </c>
      <c r="F3054" s="2">
        <v>50.0</v>
      </c>
      <c r="G3054" s="4">
        <v>44461.10186488426</v>
      </c>
      <c r="H3054" s="8">
        <v>44461.0</v>
      </c>
    </row>
    <row r="3055">
      <c r="A3055" s="2">
        <v>0.27</v>
      </c>
      <c r="B3055" s="2">
        <v>233.8</v>
      </c>
      <c r="C3055" s="2">
        <v>5.3</v>
      </c>
      <c r="D3055" s="2">
        <v>2.78</v>
      </c>
      <c r="E3055" s="2">
        <v>0.08</v>
      </c>
      <c r="F3055" s="2">
        <v>50.0</v>
      </c>
      <c r="G3055" s="4">
        <v>44461.101973854165</v>
      </c>
      <c r="H3055" s="8">
        <v>44461.0</v>
      </c>
    </row>
    <row r="3056">
      <c r="A3056" s="2">
        <v>0.27</v>
      </c>
      <c r="B3056" s="2">
        <v>233.9</v>
      </c>
      <c r="C3056" s="2">
        <v>4.5</v>
      </c>
      <c r="D3056" s="2">
        <v>2.78</v>
      </c>
      <c r="E3056" s="2">
        <v>0.07</v>
      </c>
      <c r="F3056" s="2">
        <v>50.0</v>
      </c>
      <c r="G3056" s="4">
        <v>44461.10207466435</v>
      </c>
      <c r="H3056" s="8">
        <v>44461.0</v>
      </c>
    </row>
    <row r="3057">
      <c r="A3057" s="2">
        <v>0.29</v>
      </c>
      <c r="B3057" s="2">
        <v>233.9</v>
      </c>
      <c r="C3057" s="2">
        <v>10.1</v>
      </c>
      <c r="D3057" s="2">
        <v>2.78</v>
      </c>
      <c r="E3057" s="2">
        <v>0.15</v>
      </c>
      <c r="F3057" s="2">
        <v>50.0</v>
      </c>
      <c r="G3057" s="4">
        <v>44461.102176712964</v>
      </c>
      <c r="H3057" s="8">
        <v>44461.0</v>
      </c>
    </row>
    <row r="3058">
      <c r="A3058" s="2">
        <v>0.28</v>
      </c>
      <c r="B3058" s="2">
        <v>234.0</v>
      </c>
      <c r="C3058" s="2">
        <v>9.4</v>
      </c>
      <c r="D3058" s="2">
        <v>2.78</v>
      </c>
      <c r="E3058" s="2">
        <v>0.14</v>
      </c>
      <c r="F3058" s="2">
        <v>50.0</v>
      </c>
      <c r="G3058" s="4">
        <v>44461.10228869213</v>
      </c>
      <c r="H3058" s="8">
        <v>44461.0</v>
      </c>
    </row>
    <row r="3059">
      <c r="A3059" s="2">
        <v>0.27</v>
      </c>
      <c r="B3059" s="2">
        <v>233.9</v>
      </c>
      <c r="C3059" s="2">
        <v>7.1</v>
      </c>
      <c r="D3059" s="2">
        <v>2.78</v>
      </c>
      <c r="E3059" s="2">
        <v>0.11</v>
      </c>
      <c r="F3059" s="2">
        <v>50.0</v>
      </c>
      <c r="G3059" s="4">
        <v>44461.10239789352</v>
      </c>
      <c r="H3059" s="8">
        <v>44461.0</v>
      </c>
    </row>
    <row r="3060">
      <c r="A3060" s="2">
        <v>0.27</v>
      </c>
      <c r="B3060" s="2">
        <v>233.8</v>
      </c>
      <c r="C3060" s="2">
        <v>5.2</v>
      </c>
      <c r="D3060" s="2">
        <v>2.78</v>
      </c>
      <c r="E3060" s="2">
        <v>0.08</v>
      </c>
      <c r="F3060" s="2">
        <v>50.0</v>
      </c>
      <c r="G3060" s="4">
        <v>44461.10249936343</v>
      </c>
      <c r="H3060" s="8">
        <v>44461.0</v>
      </c>
    </row>
    <row r="3061">
      <c r="A3061" s="2">
        <v>0.27</v>
      </c>
      <c r="B3061" s="2">
        <v>233.8</v>
      </c>
      <c r="C3061" s="2">
        <v>4.9</v>
      </c>
      <c r="D3061" s="2">
        <v>2.78</v>
      </c>
      <c r="E3061" s="2">
        <v>0.08</v>
      </c>
      <c r="F3061" s="2">
        <v>50.0</v>
      </c>
      <c r="G3061" s="4">
        <v>44461.10260434028</v>
      </c>
      <c r="H3061" s="8">
        <v>44461.0</v>
      </c>
    </row>
    <row r="3062">
      <c r="A3062" s="2">
        <v>0.27</v>
      </c>
      <c r="B3062" s="2">
        <v>233.8</v>
      </c>
      <c r="C3062" s="2">
        <v>5.2</v>
      </c>
      <c r="D3062" s="2">
        <v>2.78</v>
      </c>
      <c r="E3062" s="2">
        <v>0.08</v>
      </c>
      <c r="F3062" s="2">
        <v>49.9</v>
      </c>
      <c r="G3062" s="4">
        <v>44461.102709583334</v>
      </c>
      <c r="H3062" s="8">
        <v>44461.0</v>
      </c>
    </row>
    <row r="3063">
      <c r="A3063" s="2">
        <v>0.27</v>
      </c>
      <c r="B3063" s="2">
        <v>233.7</v>
      </c>
      <c r="C3063" s="2">
        <v>5.0</v>
      </c>
      <c r="D3063" s="2">
        <v>2.78</v>
      </c>
      <c r="E3063" s="2">
        <v>0.08</v>
      </c>
      <c r="F3063" s="2">
        <v>50.0</v>
      </c>
      <c r="G3063" s="4">
        <v>44461.10281503473</v>
      </c>
      <c r="H3063" s="8">
        <v>44461.0</v>
      </c>
    </row>
    <row r="3064">
      <c r="A3064" s="2">
        <v>0.26</v>
      </c>
      <c r="B3064" s="2">
        <v>233.7</v>
      </c>
      <c r="C3064" s="2">
        <v>4.2</v>
      </c>
      <c r="D3064" s="2">
        <v>2.78</v>
      </c>
      <c r="E3064" s="2">
        <v>0.07</v>
      </c>
      <c r="F3064" s="2">
        <v>49.9</v>
      </c>
      <c r="G3064" s="4">
        <v>44461.10292376157</v>
      </c>
      <c r="H3064" s="8">
        <v>44461.0</v>
      </c>
    </row>
    <row r="3065">
      <c r="A3065" s="2">
        <v>0.28</v>
      </c>
      <c r="B3065" s="2">
        <v>233.6</v>
      </c>
      <c r="C3065" s="2">
        <v>8.0</v>
      </c>
      <c r="D3065" s="2">
        <v>2.78</v>
      </c>
      <c r="E3065" s="2">
        <v>0.12</v>
      </c>
      <c r="F3065" s="2">
        <v>49.9</v>
      </c>
      <c r="G3065" s="4">
        <v>44461.103032534724</v>
      </c>
      <c r="H3065" s="8">
        <v>44461.0</v>
      </c>
    </row>
    <row r="3066">
      <c r="A3066" s="2">
        <v>0.3</v>
      </c>
      <c r="B3066" s="2">
        <v>233.6</v>
      </c>
      <c r="C3066" s="2">
        <v>11.6</v>
      </c>
      <c r="D3066" s="2">
        <v>2.78</v>
      </c>
      <c r="E3066" s="2">
        <v>0.17</v>
      </c>
      <c r="F3066" s="2">
        <v>49.9</v>
      </c>
      <c r="G3066" s="4">
        <v>44461.10313847222</v>
      </c>
      <c r="H3066" s="8">
        <v>44461.0</v>
      </c>
    </row>
    <row r="3067">
      <c r="A3067" s="2">
        <v>0.28</v>
      </c>
      <c r="B3067" s="2">
        <v>233.9</v>
      </c>
      <c r="C3067" s="2">
        <v>5.8</v>
      </c>
      <c r="D3067" s="2">
        <v>2.78</v>
      </c>
      <c r="E3067" s="2">
        <v>0.09</v>
      </c>
      <c r="F3067" s="2">
        <v>50.0</v>
      </c>
      <c r="G3067" s="4">
        <v>44461.10324527777</v>
      </c>
      <c r="H3067" s="8">
        <v>44461.0</v>
      </c>
    </row>
    <row r="3068">
      <c r="A3068" s="2">
        <v>0.28</v>
      </c>
      <c r="B3068" s="2">
        <v>233.9</v>
      </c>
      <c r="C3068" s="2">
        <v>7.6</v>
      </c>
      <c r="D3068" s="2">
        <v>2.78</v>
      </c>
      <c r="E3068" s="2">
        <v>0.11</v>
      </c>
      <c r="F3068" s="2">
        <v>49.9</v>
      </c>
      <c r="G3068" s="4">
        <v>44461.10335539352</v>
      </c>
      <c r="H3068" s="8">
        <v>44461.0</v>
      </c>
    </row>
    <row r="3069">
      <c r="A3069" s="2">
        <v>0.27</v>
      </c>
      <c r="B3069" s="2">
        <v>234.0</v>
      </c>
      <c r="C3069" s="2">
        <v>5.0</v>
      </c>
      <c r="D3069" s="2">
        <v>2.78</v>
      </c>
      <c r="E3069" s="2">
        <v>0.08</v>
      </c>
      <c r="F3069" s="2">
        <v>50.0</v>
      </c>
      <c r="G3069" s="4">
        <v>44461.103459074075</v>
      </c>
      <c r="H3069" s="8">
        <v>44461.0</v>
      </c>
    </row>
    <row r="3070">
      <c r="A3070" s="2">
        <v>0.27</v>
      </c>
      <c r="B3070" s="2">
        <v>234.0</v>
      </c>
      <c r="C3070" s="2">
        <v>4.0</v>
      </c>
      <c r="D3070" s="2">
        <v>2.78</v>
      </c>
      <c r="E3070" s="2">
        <v>0.06</v>
      </c>
      <c r="F3070" s="2">
        <v>50.0</v>
      </c>
      <c r="G3070" s="4">
        <v>44461.103566261576</v>
      </c>
      <c r="H3070" s="8">
        <v>44461.0</v>
      </c>
    </row>
    <row r="3071">
      <c r="A3071" s="2">
        <v>0.27</v>
      </c>
      <c r="B3071" s="2">
        <v>234.1</v>
      </c>
      <c r="C3071" s="2">
        <v>4.7</v>
      </c>
      <c r="D3071" s="2">
        <v>2.78</v>
      </c>
      <c r="E3071" s="2">
        <v>0.07</v>
      </c>
      <c r="F3071" s="2">
        <v>50.0</v>
      </c>
      <c r="G3071" s="4">
        <v>44461.103676342595</v>
      </c>
      <c r="H3071" s="8">
        <v>44461.0</v>
      </c>
    </row>
    <row r="3072">
      <c r="A3072" s="2">
        <v>0.26</v>
      </c>
      <c r="B3072" s="2">
        <v>234.1</v>
      </c>
      <c r="C3072" s="2">
        <v>3.5</v>
      </c>
      <c r="D3072" s="2">
        <v>2.78</v>
      </c>
      <c r="E3072" s="2">
        <v>0.06</v>
      </c>
      <c r="F3072" s="2">
        <v>50.0</v>
      </c>
      <c r="G3072" s="4">
        <v>44461.10378711806</v>
      </c>
      <c r="H3072" s="8">
        <v>44461.0</v>
      </c>
    </row>
    <row r="3073">
      <c r="A3073" s="2">
        <v>0.27</v>
      </c>
      <c r="B3073" s="2">
        <v>234.2</v>
      </c>
      <c r="C3073" s="2">
        <v>4.4</v>
      </c>
      <c r="D3073" s="2">
        <v>2.78</v>
      </c>
      <c r="E3073" s="2">
        <v>0.07</v>
      </c>
      <c r="F3073" s="2">
        <v>50.0</v>
      </c>
      <c r="G3073" s="4">
        <v>44461.103891875</v>
      </c>
      <c r="H3073" s="8">
        <v>44461.0</v>
      </c>
    </row>
    <row r="3074">
      <c r="A3074" s="2">
        <v>0.28</v>
      </c>
      <c r="B3074" s="2">
        <v>234.1</v>
      </c>
      <c r="C3074" s="2">
        <v>8.3</v>
      </c>
      <c r="D3074" s="2">
        <v>2.78</v>
      </c>
      <c r="E3074" s="2">
        <v>0.13</v>
      </c>
      <c r="F3074" s="2">
        <v>50.0</v>
      </c>
      <c r="G3074" s="4">
        <v>44461.10400670139</v>
      </c>
      <c r="H3074" s="8">
        <v>44461.0</v>
      </c>
    </row>
    <row r="3075">
      <c r="A3075" s="2">
        <v>0.28</v>
      </c>
      <c r="B3075" s="2">
        <v>234.2</v>
      </c>
      <c r="C3075" s="2">
        <v>8.3</v>
      </c>
      <c r="D3075" s="2">
        <v>2.78</v>
      </c>
      <c r="E3075" s="2">
        <v>0.13</v>
      </c>
      <c r="F3075" s="2">
        <v>50.0</v>
      </c>
      <c r="G3075" s="4">
        <v>44461.104112905094</v>
      </c>
      <c r="H3075" s="8">
        <v>44461.0</v>
      </c>
    </row>
    <row r="3076">
      <c r="A3076" s="2">
        <v>0.28</v>
      </c>
      <c r="B3076" s="2">
        <v>234.1</v>
      </c>
      <c r="C3076" s="2">
        <v>7.5</v>
      </c>
      <c r="D3076" s="2">
        <v>2.78</v>
      </c>
      <c r="E3076" s="2">
        <v>0.12</v>
      </c>
      <c r="F3076" s="2">
        <v>50.0</v>
      </c>
      <c r="G3076" s="4">
        <v>44461.104221863425</v>
      </c>
      <c r="H3076" s="8">
        <v>44461.0</v>
      </c>
    </row>
    <row r="3077">
      <c r="A3077" s="2">
        <v>0.29</v>
      </c>
      <c r="B3077" s="2">
        <v>234.1</v>
      </c>
      <c r="C3077" s="2">
        <v>10.1</v>
      </c>
      <c r="D3077" s="2">
        <v>2.78</v>
      </c>
      <c r="E3077" s="2">
        <v>0.15</v>
      </c>
      <c r="F3077" s="2">
        <v>50.0</v>
      </c>
      <c r="G3077" s="4">
        <v>44461.10432837963</v>
      </c>
      <c r="H3077" s="8">
        <v>44461.0</v>
      </c>
    </row>
    <row r="3078">
      <c r="A3078" s="2">
        <v>0.27</v>
      </c>
      <c r="B3078" s="2">
        <v>234.0</v>
      </c>
      <c r="C3078" s="2">
        <v>4.3</v>
      </c>
      <c r="D3078" s="2">
        <v>2.78</v>
      </c>
      <c r="E3078" s="2">
        <v>0.07</v>
      </c>
      <c r="F3078" s="2">
        <v>49.9</v>
      </c>
      <c r="G3078" s="4">
        <v>44461.10446311343</v>
      </c>
      <c r="H3078" s="8">
        <v>44461.0</v>
      </c>
    </row>
    <row r="3079">
      <c r="A3079" s="2">
        <v>0.27</v>
      </c>
      <c r="B3079" s="2">
        <v>234.0</v>
      </c>
      <c r="C3079" s="2">
        <v>5.8</v>
      </c>
      <c r="D3079" s="2">
        <v>2.78</v>
      </c>
      <c r="E3079" s="2">
        <v>0.09</v>
      </c>
      <c r="F3079" s="2">
        <v>49.9</v>
      </c>
      <c r="G3079" s="4">
        <v>44461.10456620371</v>
      </c>
      <c r="H3079" s="8">
        <v>44461.0</v>
      </c>
    </row>
    <row r="3080">
      <c r="A3080" s="2">
        <v>0.29</v>
      </c>
      <c r="B3080" s="2">
        <v>234.0</v>
      </c>
      <c r="C3080" s="2">
        <v>10.1</v>
      </c>
      <c r="D3080" s="2">
        <v>2.78</v>
      </c>
      <c r="E3080" s="2">
        <v>0.15</v>
      </c>
      <c r="F3080" s="2">
        <v>49.9</v>
      </c>
      <c r="G3080" s="4">
        <v>44461.104671759254</v>
      </c>
      <c r="H3080" s="8">
        <v>44461.0</v>
      </c>
    </row>
    <row r="3081">
      <c r="A3081" s="2">
        <v>0.28</v>
      </c>
      <c r="B3081" s="2">
        <v>233.8</v>
      </c>
      <c r="C3081" s="2">
        <v>8.0</v>
      </c>
      <c r="D3081" s="2">
        <v>2.78</v>
      </c>
      <c r="E3081" s="2">
        <v>0.12</v>
      </c>
      <c r="F3081" s="2">
        <v>50.0</v>
      </c>
      <c r="G3081" s="4">
        <v>44461.104770509264</v>
      </c>
      <c r="H3081" s="8">
        <v>44461.0</v>
      </c>
    </row>
    <row r="3082">
      <c r="A3082" s="2">
        <v>0.27</v>
      </c>
      <c r="B3082" s="2">
        <v>233.8</v>
      </c>
      <c r="C3082" s="2">
        <v>5.2</v>
      </c>
      <c r="D3082" s="2">
        <v>2.78</v>
      </c>
      <c r="E3082" s="2">
        <v>0.08</v>
      </c>
      <c r="F3082" s="2">
        <v>49.9</v>
      </c>
      <c r="G3082" s="4">
        <v>44461.10487034722</v>
      </c>
      <c r="H3082" s="8">
        <v>44461.0</v>
      </c>
    </row>
    <row r="3083">
      <c r="A3083" s="2">
        <v>0.27</v>
      </c>
      <c r="B3083" s="2">
        <v>233.9</v>
      </c>
      <c r="C3083" s="2">
        <v>4.0</v>
      </c>
      <c r="D3083" s="2">
        <v>2.78</v>
      </c>
      <c r="E3083" s="2">
        <v>0.06</v>
      </c>
      <c r="F3083" s="2">
        <v>50.0</v>
      </c>
      <c r="G3083" s="4">
        <v>44461.10497943287</v>
      </c>
      <c r="H3083" s="8">
        <v>44461.0</v>
      </c>
    </row>
    <row r="3084">
      <c r="A3084" s="2">
        <v>0.27</v>
      </c>
      <c r="B3084" s="2">
        <v>233.9</v>
      </c>
      <c r="C3084" s="2">
        <v>4.1</v>
      </c>
      <c r="D3084" s="2">
        <v>2.78</v>
      </c>
      <c r="E3084" s="2">
        <v>0.07</v>
      </c>
      <c r="F3084" s="2">
        <v>50.0</v>
      </c>
      <c r="G3084" s="4">
        <v>44461.10509103009</v>
      </c>
      <c r="H3084" s="8">
        <v>44461.0</v>
      </c>
    </row>
    <row r="3085">
      <c r="A3085" s="2">
        <v>0.27</v>
      </c>
      <c r="B3085" s="2">
        <v>234.0</v>
      </c>
      <c r="C3085" s="2">
        <v>4.6</v>
      </c>
      <c r="D3085" s="2">
        <v>2.78</v>
      </c>
      <c r="E3085" s="2">
        <v>0.07</v>
      </c>
      <c r="F3085" s="2">
        <v>50.0</v>
      </c>
      <c r="G3085" s="4">
        <v>44461.105196979166</v>
      </c>
      <c r="H3085" s="8">
        <v>44461.0</v>
      </c>
    </row>
    <row r="3086">
      <c r="A3086" s="2">
        <v>0.29</v>
      </c>
      <c r="B3086" s="2">
        <v>234.2</v>
      </c>
      <c r="C3086" s="2">
        <v>10.0</v>
      </c>
      <c r="D3086" s="2">
        <v>2.78</v>
      </c>
      <c r="E3086" s="2">
        <v>0.15</v>
      </c>
      <c r="F3086" s="2">
        <v>50.0</v>
      </c>
      <c r="G3086" s="4">
        <v>44461.10530115741</v>
      </c>
      <c r="H3086" s="8">
        <v>44461.0</v>
      </c>
    </row>
    <row r="3087">
      <c r="A3087" s="2">
        <v>0.28</v>
      </c>
      <c r="B3087" s="2">
        <v>234.2</v>
      </c>
      <c r="C3087" s="2">
        <v>7.6</v>
      </c>
      <c r="D3087" s="2">
        <v>2.78</v>
      </c>
      <c r="E3087" s="2">
        <v>0.11</v>
      </c>
      <c r="F3087" s="2">
        <v>50.0</v>
      </c>
      <c r="G3087" s="4">
        <v>44461.10540375</v>
      </c>
      <c r="H3087" s="8">
        <v>44461.0</v>
      </c>
    </row>
    <row r="3088">
      <c r="A3088" s="2">
        <v>0.27</v>
      </c>
      <c r="B3088" s="2">
        <v>234.2</v>
      </c>
      <c r="C3088" s="2">
        <v>5.6</v>
      </c>
      <c r="D3088" s="2">
        <v>2.78</v>
      </c>
      <c r="E3088" s="2">
        <v>0.09</v>
      </c>
      <c r="F3088" s="2">
        <v>50.0</v>
      </c>
      <c r="G3088" s="4">
        <v>44461.10550527778</v>
      </c>
      <c r="H3088" s="8">
        <v>44461.0</v>
      </c>
    </row>
    <row r="3089">
      <c r="A3089" s="2">
        <v>0.27</v>
      </c>
      <c r="B3089" s="2">
        <v>234.2</v>
      </c>
      <c r="C3089" s="2">
        <v>4.9</v>
      </c>
      <c r="D3089" s="2">
        <v>2.78</v>
      </c>
      <c r="E3089" s="2">
        <v>0.08</v>
      </c>
      <c r="F3089" s="2">
        <v>50.0</v>
      </c>
      <c r="G3089" s="4">
        <v>44461.105607523146</v>
      </c>
      <c r="H3089" s="8">
        <v>44461.0</v>
      </c>
    </row>
    <row r="3090">
      <c r="A3090" s="2">
        <v>0.27</v>
      </c>
      <c r="B3090" s="2">
        <v>234.2</v>
      </c>
      <c r="C3090" s="2">
        <v>4.2</v>
      </c>
      <c r="D3090" s="2">
        <v>2.78</v>
      </c>
      <c r="E3090" s="2">
        <v>0.07</v>
      </c>
      <c r="F3090" s="2">
        <v>50.0</v>
      </c>
      <c r="G3090" s="4">
        <v>44461.10571145834</v>
      </c>
      <c r="H3090" s="8">
        <v>44461.0</v>
      </c>
    </row>
    <row r="3091">
      <c r="A3091" s="2">
        <v>0.28</v>
      </c>
      <c r="B3091" s="2">
        <v>234.2</v>
      </c>
      <c r="C3091" s="2">
        <v>9.5</v>
      </c>
      <c r="D3091" s="2">
        <v>2.78</v>
      </c>
      <c r="E3091" s="2">
        <v>0.14</v>
      </c>
      <c r="F3091" s="2">
        <v>50.0</v>
      </c>
      <c r="G3091" s="4">
        <v>44461.10581753472</v>
      </c>
      <c r="H3091" s="8">
        <v>44461.0</v>
      </c>
    </row>
    <row r="3092">
      <c r="A3092" s="2">
        <v>0.3</v>
      </c>
      <c r="B3092" s="2">
        <v>234.2</v>
      </c>
      <c r="C3092" s="2">
        <v>10.5</v>
      </c>
      <c r="D3092" s="2">
        <v>2.78</v>
      </c>
      <c r="E3092" s="2">
        <v>0.15</v>
      </c>
      <c r="F3092" s="2">
        <v>50.0</v>
      </c>
      <c r="G3092" s="4">
        <v>44461.1059191088</v>
      </c>
      <c r="H3092" s="8">
        <v>44461.0</v>
      </c>
    </row>
    <row r="3093">
      <c r="A3093" s="2">
        <v>0.27</v>
      </c>
      <c r="B3093" s="2">
        <v>234.3</v>
      </c>
      <c r="C3093" s="2">
        <v>4.8</v>
      </c>
      <c r="D3093" s="2">
        <v>2.78</v>
      </c>
      <c r="E3093" s="2">
        <v>0.08</v>
      </c>
      <c r="F3093" s="2">
        <v>50.0</v>
      </c>
      <c r="G3093" s="4">
        <v>44461.10602255787</v>
      </c>
      <c r="H3093" s="8">
        <v>44461.0</v>
      </c>
    </row>
    <row r="3094">
      <c r="A3094" s="2">
        <v>0.27</v>
      </c>
      <c r="B3094" s="2">
        <v>234.4</v>
      </c>
      <c r="C3094" s="2">
        <v>5.3</v>
      </c>
      <c r="D3094" s="2">
        <v>2.78</v>
      </c>
      <c r="E3094" s="2">
        <v>0.08</v>
      </c>
      <c r="F3094" s="2">
        <v>50.0</v>
      </c>
      <c r="G3094" s="4">
        <v>44461.10612575231</v>
      </c>
      <c r="H3094" s="8">
        <v>44461.0</v>
      </c>
    </row>
    <row r="3095">
      <c r="A3095" s="2">
        <v>0.27</v>
      </c>
      <c r="B3095" s="2">
        <v>235.3</v>
      </c>
      <c r="C3095" s="2">
        <v>4.1</v>
      </c>
      <c r="D3095" s="2">
        <v>2.78</v>
      </c>
      <c r="E3095" s="2">
        <v>0.07</v>
      </c>
      <c r="F3095" s="2">
        <v>50.0</v>
      </c>
      <c r="G3095" s="4">
        <v>44461.10623077546</v>
      </c>
      <c r="H3095" s="8">
        <v>44461.0</v>
      </c>
    </row>
    <row r="3096">
      <c r="A3096" s="2">
        <v>0.27</v>
      </c>
      <c r="B3096" s="2">
        <v>235.3</v>
      </c>
      <c r="C3096" s="2">
        <v>4.2</v>
      </c>
      <c r="D3096" s="2">
        <v>2.78</v>
      </c>
      <c r="E3096" s="2">
        <v>0.07</v>
      </c>
      <c r="F3096" s="2">
        <v>50.0</v>
      </c>
      <c r="G3096" s="4">
        <v>44461.106334282405</v>
      </c>
      <c r="H3096" s="8">
        <v>44461.0</v>
      </c>
    </row>
    <row r="3097">
      <c r="A3097" s="2">
        <v>0.28</v>
      </c>
      <c r="B3097" s="2">
        <v>235.3</v>
      </c>
      <c r="C3097" s="2">
        <v>7.2</v>
      </c>
      <c r="D3097" s="2">
        <v>2.78</v>
      </c>
      <c r="E3097" s="2">
        <v>0.11</v>
      </c>
      <c r="F3097" s="2">
        <v>50.0</v>
      </c>
      <c r="G3097" s="4">
        <v>44461.106435636575</v>
      </c>
      <c r="H3097" s="8">
        <v>44461.0</v>
      </c>
    </row>
    <row r="3098">
      <c r="A3098" s="2">
        <v>0.28</v>
      </c>
      <c r="B3098" s="2">
        <v>235.3</v>
      </c>
      <c r="C3098" s="2">
        <v>6.0</v>
      </c>
      <c r="D3098" s="2">
        <v>2.78</v>
      </c>
      <c r="E3098" s="2">
        <v>0.09</v>
      </c>
      <c r="F3098" s="2">
        <v>50.0</v>
      </c>
      <c r="G3098" s="4">
        <v>44461.106584629626</v>
      </c>
      <c r="H3098" s="8">
        <v>44461.0</v>
      </c>
    </row>
    <row r="3099">
      <c r="A3099" s="2">
        <v>0.27</v>
      </c>
      <c r="B3099" s="2">
        <v>235.2</v>
      </c>
      <c r="C3099" s="2">
        <v>4.9</v>
      </c>
      <c r="D3099" s="2">
        <v>2.78</v>
      </c>
      <c r="E3099" s="2">
        <v>0.08</v>
      </c>
      <c r="F3099" s="2">
        <v>50.0</v>
      </c>
      <c r="G3099" s="4">
        <v>44461.10669797454</v>
      </c>
      <c r="H3099" s="8">
        <v>44461.0</v>
      </c>
    </row>
    <row r="3100">
      <c r="A3100" s="2">
        <v>0.28</v>
      </c>
      <c r="B3100" s="2">
        <v>235.1</v>
      </c>
      <c r="C3100" s="2">
        <v>6.0</v>
      </c>
      <c r="D3100" s="2">
        <v>2.78</v>
      </c>
      <c r="E3100" s="2">
        <v>0.09</v>
      </c>
      <c r="F3100" s="2">
        <v>50.0</v>
      </c>
      <c r="G3100" s="4">
        <v>44461.106810717596</v>
      </c>
      <c r="H3100" s="8">
        <v>44461.0</v>
      </c>
    </row>
    <row r="3101">
      <c r="A3101" s="2">
        <v>0.28</v>
      </c>
      <c r="B3101" s="2">
        <v>235.2</v>
      </c>
      <c r="C3101" s="2">
        <v>5.7</v>
      </c>
      <c r="D3101" s="2">
        <v>2.78</v>
      </c>
      <c r="E3101" s="2">
        <v>0.09</v>
      </c>
      <c r="F3101" s="2">
        <v>50.0</v>
      </c>
      <c r="G3101" s="4">
        <v>44461.10692200232</v>
      </c>
      <c r="H3101" s="8">
        <v>44461.0</v>
      </c>
    </row>
    <row r="3102">
      <c r="A3102" s="2">
        <v>0.27</v>
      </c>
      <c r="B3102" s="2">
        <v>235.3</v>
      </c>
      <c r="C3102" s="2">
        <v>5.0</v>
      </c>
      <c r="D3102" s="2">
        <v>2.78</v>
      </c>
      <c r="E3102" s="2">
        <v>0.08</v>
      </c>
      <c r="F3102" s="2">
        <v>50.0</v>
      </c>
      <c r="G3102" s="4">
        <v>44461.107025370366</v>
      </c>
      <c r="H3102" s="8">
        <v>44461.0</v>
      </c>
    </row>
    <row r="3103">
      <c r="A3103" s="2">
        <v>0.27</v>
      </c>
      <c r="B3103" s="2">
        <v>235.3</v>
      </c>
      <c r="C3103" s="2">
        <v>3.9</v>
      </c>
      <c r="D3103" s="2">
        <v>2.78</v>
      </c>
      <c r="E3103" s="2">
        <v>0.06</v>
      </c>
      <c r="F3103" s="2">
        <v>50.0</v>
      </c>
      <c r="G3103" s="4">
        <v>44461.10713418981</v>
      </c>
      <c r="H3103" s="8">
        <v>44461.0</v>
      </c>
    </row>
    <row r="3104">
      <c r="A3104" s="2">
        <v>0.27</v>
      </c>
      <c r="B3104" s="2">
        <v>235.3</v>
      </c>
      <c r="C3104" s="2">
        <v>5.3</v>
      </c>
      <c r="D3104" s="2">
        <v>2.78</v>
      </c>
      <c r="E3104" s="2">
        <v>0.08</v>
      </c>
      <c r="F3104" s="2">
        <v>50.0</v>
      </c>
      <c r="G3104" s="4">
        <v>44461.107251203706</v>
      </c>
      <c r="H3104" s="8">
        <v>44461.0</v>
      </c>
    </row>
    <row r="3105">
      <c r="A3105" s="2">
        <v>0.26</v>
      </c>
      <c r="B3105" s="2">
        <v>235.2</v>
      </c>
      <c r="C3105" s="2">
        <v>3.6</v>
      </c>
      <c r="D3105" s="2">
        <v>2.78</v>
      </c>
      <c r="E3105" s="2">
        <v>0.06</v>
      </c>
      <c r="F3105" s="2">
        <v>50.0</v>
      </c>
      <c r="G3105" s="4">
        <v>44461.107359988426</v>
      </c>
      <c r="H3105" s="8">
        <v>44461.0</v>
      </c>
    </row>
    <row r="3106">
      <c r="A3106" s="2">
        <v>0.29</v>
      </c>
      <c r="B3106" s="2">
        <v>235.2</v>
      </c>
      <c r="C3106" s="2">
        <v>10.3</v>
      </c>
      <c r="D3106" s="2">
        <v>2.78</v>
      </c>
      <c r="E3106" s="2">
        <v>0.15</v>
      </c>
      <c r="F3106" s="2">
        <v>50.0</v>
      </c>
      <c r="G3106" s="4">
        <v>44461.10749776621</v>
      </c>
      <c r="H3106" s="8">
        <v>44461.0</v>
      </c>
    </row>
    <row r="3107">
      <c r="A3107" s="2">
        <v>0.29</v>
      </c>
      <c r="B3107" s="2">
        <v>235.2</v>
      </c>
      <c r="C3107" s="2">
        <v>8.3</v>
      </c>
      <c r="D3107" s="2">
        <v>2.78</v>
      </c>
      <c r="E3107" s="2">
        <v>0.12</v>
      </c>
      <c r="F3107" s="2">
        <v>50.0</v>
      </c>
      <c r="G3107" s="4">
        <v>44461.107613831016</v>
      </c>
      <c r="H3107" s="8">
        <v>44461.0</v>
      </c>
    </row>
    <row r="3108">
      <c r="A3108" s="2">
        <v>0.3</v>
      </c>
      <c r="B3108" s="2">
        <v>235.1</v>
      </c>
      <c r="C3108" s="2">
        <v>10.9</v>
      </c>
      <c r="D3108" s="2">
        <v>2.78</v>
      </c>
      <c r="E3108" s="2">
        <v>0.16</v>
      </c>
      <c r="F3108" s="2">
        <v>50.0</v>
      </c>
      <c r="G3108" s="4">
        <v>44461.107718831016</v>
      </c>
      <c r="H3108" s="8">
        <v>44461.0</v>
      </c>
    </row>
    <row r="3109">
      <c r="A3109" s="2">
        <v>0.28</v>
      </c>
      <c r="B3109" s="2">
        <v>235.0</v>
      </c>
      <c r="C3109" s="2">
        <v>5.8</v>
      </c>
      <c r="D3109" s="2">
        <v>2.78</v>
      </c>
      <c r="E3109" s="2">
        <v>0.09</v>
      </c>
      <c r="F3109" s="2">
        <v>49.9</v>
      </c>
      <c r="G3109" s="4">
        <v>44461.10782373842</v>
      </c>
      <c r="H3109" s="8">
        <v>44461.0</v>
      </c>
    </row>
    <row r="3110">
      <c r="A3110" s="2">
        <v>0.27</v>
      </c>
      <c r="B3110" s="2">
        <v>235.0</v>
      </c>
      <c r="C3110" s="2">
        <v>5.2</v>
      </c>
      <c r="D3110" s="2">
        <v>2.78</v>
      </c>
      <c r="E3110" s="2">
        <v>0.08</v>
      </c>
      <c r="F3110" s="2">
        <v>49.9</v>
      </c>
      <c r="G3110" s="4">
        <v>44461.107931412036</v>
      </c>
      <c r="H3110" s="8">
        <v>44461.0</v>
      </c>
    </row>
    <row r="3111">
      <c r="A3111" s="2">
        <v>0.27</v>
      </c>
      <c r="B3111" s="2">
        <v>234.9</v>
      </c>
      <c r="C3111" s="2">
        <v>4.2</v>
      </c>
      <c r="D3111" s="2">
        <v>2.78</v>
      </c>
      <c r="E3111" s="2">
        <v>0.07</v>
      </c>
      <c r="F3111" s="2">
        <v>49.9</v>
      </c>
      <c r="G3111" s="4">
        <v>44461.10803988426</v>
      </c>
      <c r="H3111" s="8">
        <v>44461.0</v>
      </c>
    </row>
    <row r="3112">
      <c r="A3112" s="2">
        <v>0.27</v>
      </c>
      <c r="B3112" s="2">
        <v>235.0</v>
      </c>
      <c r="C3112" s="2">
        <v>4.2</v>
      </c>
      <c r="D3112" s="2">
        <v>2.78</v>
      </c>
      <c r="E3112" s="2">
        <v>0.07</v>
      </c>
      <c r="F3112" s="2">
        <v>49.9</v>
      </c>
      <c r="G3112" s="4">
        <v>44461.10814247685</v>
      </c>
      <c r="H3112" s="8">
        <v>44461.0</v>
      </c>
    </row>
    <row r="3113">
      <c r="A3113" s="2">
        <v>0.27</v>
      </c>
      <c r="B3113" s="2">
        <v>235.1</v>
      </c>
      <c r="C3113" s="2">
        <v>6.4</v>
      </c>
      <c r="D3113" s="2">
        <v>2.78</v>
      </c>
      <c r="E3113" s="2">
        <v>0.1</v>
      </c>
      <c r="F3113" s="2">
        <v>50.0</v>
      </c>
      <c r="G3113" s="4">
        <v>44461.108248668985</v>
      </c>
      <c r="H3113" s="8">
        <v>44461.0</v>
      </c>
    </row>
    <row r="3114">
      <c r="A3114" s="2">
        <v>0.29</v>
      </c>
      <c r="B3114" s="2">
        <v>235.2</v>
      </c>
      <c r="C3114" s="2">
        <v>11.1</v>
      </c>
      <c r="D3114" s="2">
        <v>2.78</v>
      </c>
      <c r="E3114" s="2">
        <v>0.16</v>
      </c>
      <c r="F3114" s="2">
        <v>50.0</v>
      </c>
      <c r="G3114" s="4">
        <v>44461.10835106482</v>
      </c>
      <c r="H3114" s="8">
        <v>44461.0</v>
      </c>
    </row>
    <row r="3115">
      <c r="A3115" s="2">
        <v>0.29</v>
      </c>
      <c r="B3115" s="2">
        <v>235.1</v>
      </c>
      <c r="C3115" s="2">
        <v>7.9</v>
      </c>
      <c r="D3115" s="2">
        <v>2.78</v>
      </c>
      <c r="E3115" s="2">
        <v>0.12</v>
      </c>
      <c r="F3115" s="2">
        <v>50.0</v>
      </c>
      <c r="G3115" s="4">
        <v>44461.108453356486</v>
      </c>
      <c r="H3115" s="8">
        <v>44461.0</v>
      </c>
    </row>
    <row r="3116">
      <c r="A3116" s="2">
        <v>0.28</v>
      </c>
      <c r="B3116" s="2">
        <v>235.1</v>
      </c>
      <c r="C3116" s="2">
        <v>6.1</v>
      </c>
      <c r="D3116" s="2">
        <v>2.79</v>
      </c>
      <c r="E3116" s="2">
        <v>0.09</v>
      </c>
      <c r="F3116" s="2">
        <v>50.0</v>
      </c>
      <c r="G3116" s="4">
        <v>44461.10855509259</v>
      </c>
      <c r="H3116" s="8">
        <v>44461.0</v>
      </c>
    </row>
    <row r="3117">
      <c r="A3117" s="2">
        <v>0.27</v>
      </c>
      <c r="B3117" s="2">
        <v>235.2</v>
      </c>
      <c r="C3117" s="2">
        <v>4.4</v>
      </c>
      <c r="D3117" s="2">
        <v>2.79</v>
      </c>
      <c r="E3117" s="2">
        <v>0.07</v>
      </c>
      <c r="F3117" s="2">
        <v>50.0</v>
      </c>
      <c r="G3117" s="4">
        <v>44461.1086878125</v>
      </c>
      <c r="H3117" s="8">
        <v>44461.0</v>
      </c>
    </row>
    <row r="3118">
      <c r="A3118" s="2">
        <v>0.29</v>
      </c>
      <c r="B3118" s="2">
        <v>235.2</v>
      </c>
      <c r="C3118" s="2">
        <v>8.0</v>
      </c>
      <c r="D3118" s="2">
        <v>2.79</v>
      </c>
      <c r="E3118" s="2">
        <v>0.12</v>
      </c>
      <c r="F3118" s="2">
        <v>50.0</v>
      </c>
      <c r="G3118" s="4">
        <v>44461.10879854167</v>
      </c>
      <c r="H3118" s="8">
        <v>44461.0</v>
      </c>
    </row>
    <row r="3119">
      <c r="A3119" s="2">
        <v>0.28</v>
      </c>
      <c r="B3119" s="2">
        <v>235.1</v>
      </c>
      <c r="C3119" s="2">
        <v>5.5</v>
      </c>
      <c r="D3119" s="2">
        <v>2.79</v>
      </c>
      <c r="E3119" s="2">
        <v>0.09</v>
      </c>
      <c r="F3119" s="2">
        <v>50.0</v>
      </c>
      <c r="G3119" s="4">
        <v>44461.10890121528</v>
      </c>
      <c r="H3119" s="8">
        <v>44461.0</v>
      </c>
    </row>
    <row r="3120">
      <c r="A3120" s="2">
        <v>0.27</v>
      </c>
      <c r="B3120" s="2">
        <v>235.1</v>
      </c>
      <c r="C3120" s="2">
        <v>3.9</v>
      </c>
      <c r="D3120" s="2">
        <v>2.79</v>
      </c>
      <c r="E3120" s="2">
        <v>0.06</v>
      </c>
      <c r="F3120" s="2">
        <v>50.0</v>
      </c>
      <c r="G3120" s="4">
        <v>44461.10900326389</v>
      </c>
      <c r="H3120" s="8">
        <v>44461.0</v>
      </c>
    </row>
    <row r="3121">
      <c r="A3121" s="2">
        <v>0.27</v>
      </c>
      <c r="B3121" s="2">
        <v>235.3</v>
      </c>
      <c r="C3121" s="2">
        <v>4.7</v>
      </c>
      <c r="D3121" s="2">
        <v>2.79</v>
      </c>
      <c r="E3121" s="2">
        <v>0.07</v>
      </c>
      <c r="F3121" s="2">
        <v>50.0</v>
      </c>
      <c r="G3121" s="4">
        <v>44461.10910797454</v>
      </c>
      <c r="H3121" s="8">
        <v>44461.0</v>
      </c>
    </row>
    <row r="3122">
      <c r="A3122" s="2">
        <v>0.27</v>
      </c>
      <c r="B3122" s="2">
        <v>235.3</v>
      </c>
      <c r="C3122" s="2">
        <v>4.3</v>
      </c>
      <c r="D3122" s="2">
        <v>2.79</v>
      </c>
      <c r="E3122" s="2">
        <v>0.07</v>
      </c>
      <c r="F3122" s="2">
        <v>50.0</v>
      </c>
      <c r="G3122" s="4">
        <v>44461.109220659724</v>
      </c>
      <c r="H3122" s="8">
        <v>44461.0</v>
      </c>
    </row>
    <row r="3123">
      <c r="A3123" s="2">
        <v>0.28</v>
      </c>
      <c r="B3123" s="2">
        <v>235.5</v>
      </c>
      <c r="C3123" s="2">
        <v>6.9</v>
      </c>
      <c r="D3123" s="2">
        <v>2.79</v>
      </c>
      <c r="E3123" s="2">
        <v>0.11</v>
      </c>
      <c r="F3123" s="2">
        <v>50.0</v>
      </c>
      <c r="G3123" s="4">
        <v>44461.10932510417</v>
      </c>
      <c r="H3123" s="8">
        <v>44461.0</v>
      </c>
    </row>
    <row r="3124">
      <c r="A3124" s="2">
        <v>0.27</v>
      </c>
      <c r="B3124" s="2">
        <v>235.4</v>
      </c>
      <c r="C3124" s="2">
        <v>4.3</v>
      </c>
      <c r="D3124" s="2">
        <v>2.79</v>
      </c>
      <c r="E3124" s="2">
        <v>0.07</v>
      </c>
      <c r="F3124" s="2">
        <v>50.0</v>
      </c>
      <c r="G3124" s="4">
        <v>44461.10943873842</v>
      </c>
      <c r="H3124" s="8">
        <v>44461.0</v>
      </c>
    </row>
    <row r="3125">
      <c r="A3125" s="2">
        <v>0.27</v>
      </c>
      <c r="B3125" s="2">
        <v>235.4</v>
      </c>
      <c r="C3125" s="2">
        <v>6.8</v>
      </c>
      <c r="D3125" s="2">
        <v>2.79</v>
      </c>
      <c r="E3125" s="2">
        <v>0.11</v>
      </c>
      <c r="F3125" s="2">
        <v>50.0</v>
      </c>
      <c r="G3125" s="4">
        <v>44461.10954908565</v>
      </c>
      <c r="H3125" s="8">
        <v>44461.0</v>
      </c>
    </row>
    <row r="3126">
      <c r="A3126" s="2">
        <v>0.29</v>
      </c>
      <c r="B3126" s="2">
        <v>235.3</v>
      </c>
      <c r="C3126" s="2">
        <v>10.7</v>
      </c>
      <c r="D3126" s="2">
        <v>2.79</v>
      </c>
      <c r="E3126" s="2">
        <v>0.15</v>
      </c>
      <c r="F3126" s="2">
        <v>50.0</v>
      </c>
      <c r="G3126" s="4">
        <v>44461.10965756944</v>
      </c>
      <c r="H3126" s="8">
        <v>44461.0</v>
      </c>
    </row>
    <row r="3127">
      <c r="A3127" s="2">
        <v>0.28</v>
      </c>
      <c r="B3127" s="2">
        <v>235.4</v>
      </c>
      <c r="C3127" s="2">
        <v>7.0</v>
      </c>
      <c r="D3127" s="2">
        <v>2.79</v>
      </c>
      <c r="E3127" s="2">
        <v>0.11</v>
      </c>
      <c r="F3127" s="2">
        <v>49.9</v>
      </c>
      <c r="G3127" s="4">
        <v>44461.10976260417</v>
      </c>
      <c r="H3127" s="8">
        <v>44461.0</v>
      </c>
    </row>
    <row r="3128">
      <c r="A3128" s="2">
        <v>0.29</v>
      </c>
      <c r="B3128" s="2">
        <v>235.3</v>
      </c>
      <c r="C3128" s="2">
        <v>9.7</v>
      </c>
      <c r="D3128" s="2">
        <v>2.79</v>
      </c>
      <c r="E3128" s="2">
        <v>0.14</v>
      </c>
      <c r="F3128" s="2">
        <v>50.0</v>
      </c>
      <c r="G3128" s="4">
        <v>44461.10986982639</v>
      </c>
      <c r="H3128" s="8">
        <v>44461.0</v>
      </c>
    </row>
    <row r="3129">
      <c r="A3129" s="2">
        <v>0.28</v>
      </c>
      <c r="B3129" s="2">
        <v>235.3</v>
      </c>
      <c r="C3129" s="2">
        <v>6.0</v>
      </c>
      <c r="D3129" s="2">
        <v>2.79</v>
      </c>
      <c r="E3129" s="2">
        <v>0.09</v>
      </c>
      <c r="F3129" s="2">
        <v>49.9</v>
      </c>
      <c r="G3129" s="4">
        <v>44461.109983946764</v>
      </c>
      <c r="H3129" s="8">
        <v>44461.0</v>
      </c>
    </row>
    <row r="3130">
      <c r="A3130" s="2">
        <v>0.29</v>
      </c>
      <c r="B3130" s="2">
        <v>235.2</v>
      </c>
      <c r="C3130" s="2">
        <v>8.3</v>
      </c>
      <c r="D3130" s="2">
        <v>2.79</v>
      </c>
      <c r="E3130" s="2">
        <v>0.12</v>
      </c>
      <c r="F3130" s="2">
        <v>50.0</v>
      </c>
      <c r="G3130" s="4">
        <v>44461.11010045139</v>
      </c>
      <c r="H3130" s="8">
        <v>44461.0</v>
      </c>
      <c r="I3130" s="2" t="s">
        <v>15</v>
      </c>
    </row>
    <row r="3131">
      <c r="A3131" s="2">
        <v>0.28</v>
      </c>
      <c r="B3131" s="2">
        <v>232.5</v>
      </c>
      <c r="C3131" s="2">
        <v>8.9</v>
      </c>
      <c r="D3131" s="2">
        <v>2.83</v>
      </c>
      <c r="E3131" s="2">
        <v>0.13</v>
      </c>
      <c r="F3131" s="2">
        <v>49.9</v>
      </c>
      <c r="G3131" s="4">
        <v>44461.296652233796</v>
      </c>
      <c r="H3131" s="8">
        <v>44461.0</v>
      </c>
      <c r="I3131" s="2" t="s">
        <v>16</v>
      </c>
    </row>
    <row r="3132">
      <c r="A3132" s="2">
        <v>0.28</v>
      </c>
      <c r="B3132" s="2">
        <v>232.5</v>
      </c>
      <c r="C3132" s="2">
        <v>8.9</v>
      </c>
      <c r="D3132" s="2">
        <v>2.83</v>
      </c>
      <c r="E3132" s="2">
        <v>0.13</v>
      </c>
      <c r="F3132" s="2">
        <v>49.9</v>
      </c>
      <c r="G3132" s="4">
        <v>44461.29669618055</v>
      </c>
      <c r="H3132" s="8">
        <v>44461.0</v>
      </c>
    </row>
    <row r="3133">
      <c r="A3133" s="2">
        <v>0.26</v>
      </c>
      <c r="B3133" s="2">
        <v>232.8</v>
      </c>
      <c r="C3133" s="2">
        <v>4.3</v>
      </c>
      <c r="D3133" s="2">
        <v>2.83</v>
      </c>
      <c r="E3133" s="2">
        <v>0.07</v>
      </c>
      <c r="F3133" s="2">
        <v>50.0</v>
      </c>
      <c r="G3133" s="4">
        <v>44461.296795937495</v>
      </c>
      <c r="H3133" s="8">
        <v>44461.0</v>
      </c>
    </row>
    <row r="3134">
      <c r="A3134" s="2">
        <v>0.26</v>
      </c>
      <c r="B3134" s="2">
        <v>233.0</v>
      </c>
      <c r="C3134" s="2">
        <v>3.9</v>
      </c>
      <c r="D3134" s="2">
        <v>2.83</v>
      </c>
      <c r="E3134" s="2">
        <v>0.06</v>
      </c>
      <c r="F3134" s="2">
        <v>50.0</v>
      </c>
      <c r="G3134" s="4">
        <v>44461.2969005787</v>
      </c>
      <c r="H3134" s="8">
        <v>44461.0</v>
      </c>
    </row>
    <row r="3135">
      <c r="A3135" s="2">
        <v>0.26</v>
      </c>
      <c r="B3135" s="2">
        <v>233.0</v>
      </c>
      <c r="C3135" s="2">
        <v>3.3</v>
      </c>
      <c r="D3135" s="2">
        <v>2.83</v>
      </c>
      <c r="E3135" s="2">
        <v>0.05</v>
      </c>
      <c r="F3135" s="2">
        <v>50.0</v>
      </c>
      <c r="G3135" s="4">
        <v>44461.29700791667</v>
      </c>
      <c r="H3135" s="8">
        <v>44461.0</v>
      </c>
    </row>
    <row r="3136">
      <c r="A3136" s="2">
        <v>0.27</v>
      </c>
      <c r="B3136" s="2">
        <v>232.9</v>
      </c>
      <c r="C3136" s="2">
        <v>4.4</v>
      </c>
      <c r="D3136" s="2">
        <v>2.83</v>
      </c>
      <c r="E3136" s="2">
        <v>0.07</v>
      </c>
      <c r="F3136" s="2">
        <v>50.0</v>
      </c>
      <c r="G3136" s="4">
        <v>44461.29712556713</v>
      </c>
      <c r="H3136" s="8">
        <v>44461.0</v>
      </c>
    </row>
    <row r="3137">
      <c r="A3137" s="2">
        <v>0.28</v>
      </c>
      <c r="B3137" s="2">
        <v>233.0</v>
      </c>
      <c r="C3137" s="2">
        <v>8.6</v>
      </c>
      <c r="D3137" s="2">
        <v>2.83</v>
      </c>
      <c r="E3137" s="2">
        <v>0.13</v>
      </c>
      <c r="F3137" s="2">
        <v>50.0</v>
      </c>
      <c r="G3137" s="4">
        <v>44461.29723409722</v>
      </c>
      <c r="H3137" s="8">
        <v>44461.0</v>
      </c>
    </row>
    <row r="3138">
      <c r="A3138" s="2">
        <v>0.28</v>
      </c>
      <c r="B3138" s="2">
        <v>233.0</v>
      </c>
      <c r="C3138" s="2">
        <v>7.7</v>
      </c>
      <c r="D3138" s="2">
        <v>2.83</v>
      </c>
      <c r="E3138" s="2">
        <v>0.12</v>
      </c>
      <c r="F3138" s="2">
        <v>50.0</v>
      </c>
      <c r="G3138" s="4">
        <v>44461.29733652778</v>
      </c>
      <c r="H3138" s="8">
        <v>44461.0</v>
      </c>
    </row>
    <row r="3139">
      <c r="A3139" s="2">
        <v>0.26</v>
      </c>
      <c r="B3139" s="2">
        <v>232.9</v>
      </c>
      <c r="C3139" s="2">
        <v>4.2</v>
      </c>
      <c r="D3139" s="2">
        <v>2.83</v>
      </c>
      <c r="E3139" s="2">
        <v>0.07</v>
      </c>
      <c r="F3139" s="2">
        <v>50.0</v>
      </c>
      <c r="G3139" s="4">
        <v>44461.29744784722</v>
      </c>
      <c r="H3139" s="8">
        <v>44461.0</v>
      </c>
    </row>
    <row r="3140">
      <c r="A3140" s="2">
        <v>0.27</v>
      </c>
      <c r="B3140" s="2">
        <v>232.8</v>
      </c>
      <c r="C3140" s="2">
        <v>4.2</v>
      </c>
      <c r="D3140" s="2">
        <v>2.83</v>
      </c>
      <c r="E3140" s="2">
        <v>0.07</v>
      </c>
      <c r="F3140" s="2">
        <v>50.0</v>
      </c>
      <c r="G3140" s="4">
        <v>44461.29755701389</v>
      </c>
      <c r="H3140" s="8">
        <v>44461.0</v>
      </c>
    </row>
    <row r="3141">
      <c r="A3141" s="2">
        <v>0.28</v>
      </c>
      <c r="B3141" s="2">
        <v>232.8</v>
      </c>
      <c r="C3141" s="2">
        <v>9.4</v>
      </c>
      <c r="D3141" s="2">
        <v>2.83</v>
      </c>
      <c r="E3141" s="2">
        <v>0.14</v>
      </c>
      <c r="F3141" s="2">
        <v>50.0</v>
      </c>
      <c r="G3141" s="4">
        <v>44461.297667349536</v>
      </c>
      <c r="H3141" s="8">
        <v>44461.0</v>
      </c>
    </row>
    <row r="3142">
      <c r="A3142" s="2">
        <v>0.27</v>
      </c>
      <c r="B3142" s="2">
        <v>232.7</v>
      </c>
      <c r="C3142" s="2">
        <v>6.3</v>
      </c>
      <c r="D3142" s="2">
        <v>2.83</v>
      </c>
      <c r="E3142" s="2">
        <v>0.1</v>
      </c>
      <c r="F3142" s="2">
        <v>50.0</v>
      </c>
      <c r="G3142" s="4">
        <v>44461.29777425926</v>
      </c>
      <c r="H3142" s="8">
        <v>44461.0</v>
      </c>
    </row>
    <row r="3143">
      <c r="A3143" s="2">
        <v>0.26</v>
      </c>
      <c r="B3143" s="2">
        <v>232.5</v>
      </c>
      <c r="C3143" s="2">
        <v>3.9</v>
      </c>
      <c r="D3143" s="2">
        <v>2.83</v>
      </c>
      <c r="E3143" s="2">
        <v>0.06</v>
      </c>
      <c r="F3143" s="2">
        <v>49.9</v>
      </c>
      <c r="G3143" s="4">
        <v>44461.29788465278</v>
      </c>
      <c r="H3143" s="8">
        <v>44461.0</v>
      </c>
    </row>
    <row r="3144">
      <c r="A3144" s="2">
        <v>0.26</v>
      </c>
      <c r="B3144" s="2">
        <v>232.6</v>
      </c>
      <c r="C3144" s="2">
        <v>4.1</v>
      </c>
      <c r="D3144" s="2">
        <v>2.83</v>
      </c>
      <c r="E3144" s="2">
        <v>0.07</v>
      </c>
      <c r="F3144" s="2">
        <v>49.9</v>
      </c>
      <c r="G3144" s="4">
        <v>44461.29799892361</v>
      </c>
      <c r="H3144" s="8">
        <v>44461.0</v>
      </c>
    </row>
    <row r="3145">
      <c r="A3145" s="2">
        <v>0.26</v>
      </c>
      <c r="B3145" s="2">
        <v>232.6</v>
      </c>
      <c r="C3145" s="2">
        <v>4.4</v>
      </c>
      <c r="D3145" s="2">
        <v>2.83</v>
      </c>
      <c r="E3145" s="2">
        <v>0.07</v>
      </c>
      <c r="F3145" s="2">
        <v>49.9</v>
      </c>
      <c r="G3145" s="4">
        <v>44461.29810667824</v>
      </c>
      <c r="H3145" s="8">
        <v>44461.0</v>
      </c>
    </row>
    <row r="3146">
      <c r="A3146" s="2">
        <v>0.28</v>
      </c>
      <c r="B3146" s="2">
        <v>232.6</v>
      </c>
      <c r="C3146" s="2">
        <v>6.8</v>
      </c>
      <c r="D3146" s="2">
        <v>2.83</v>
      </c>
      <c r="E3146" s="2">
        <v>0.1</v>
      </c>
      <c r="F3146" s="2">
        <v>49.9</v>
      </c>
      <c r="G3146" s="4">
        <v>44461.29821341435</v>
      </c>
      <c r="H3146" s="8">
        <v>44461.0</v>
      </c>
    </row>
    <row r="3147">
      <c r="A3147" s="2">
        <v>0.26</v>
      </c>
      <c r="B3147" s="2">
        <v>232.6</v>
      </c>
      <c r="C3147" s="2">
        <v>3.7</v>
      </c>
      <c r="D3147" s="2">
        <v>2.83</v>
      </c>
      <c r="E3147" s="2">
        <v>0.06</v>
      </c>
      <c r="F3147" s="2">
        <v>49.9</v>
      </c>
      <c r="G3147" s="4">
        <v>44461.298325254626</v>
      </c>
      <c r="H3147" s="8">
        <v>44461.0</v>
      </c>
    </row>
    <row r="3148">
      <c r="A3148" s="2">
        <v>0.26</v>
      </c>
      <c r="B3148" s="2">
        <v>232.4</v>
      </c>
      <c r="C3148" s="2">
        <v>3.4</v>
      </c>
      <c r="D3148" s="2">
        <v>2.83</v>
      </c>
      <c r="E3148" s="2">
        <v>0.06</v>
      </c>
      <c r="F3148" s="2">
        <v>49.9</v>
      </c>
      <c r="G3148" s="4">
        <v>44461.298429525465</v>
      </c>
      <c r="H3148" s="8">
        <v>44461.0</v>
      </c>
    </row>
    <row r="3149">
      <c r="A3149" s="2">
        <v>0.26</v>
      </c>
      <c r="B3149" s="2">
        <v>232.4</v>
      </c>
      <c r="C3149" s="2">
        <v>3.6</v>
      </c>
      <c r="D3149" s="2">
        <v>2.83</v>
      </c>
      <c r="E3149" s="2">
        <v>0.06</v>
      </c>
      <c r="F3149" s="2">
        <v>49.9</v>
      </c>
      <c r="G3149" s="4">
        <v>44461.2985334838</v>
      </c>
      <c r="H3149" s="8">
        <v>44461.0</v>
      </c>
    </row>
    <row r="3150">
      <c r="A3150" s="2">
        <v>0.26</v>
      </c>
      <c r="B3150" s="2">
        <v>232.5</v>
      </c>
      <c r="C3150" s="2">
        <v>3.7</v>
      </c>
      <c r="D3150" s="2">
        <v>2.83</v>
      </c>
      <c r="E3150" s="2">
        <v>0.06</v>
      </c>
      <c r="F3150" s="2">
        <v>49.9</v>
      </c>
      <c r="G3150" s="4">
        <v>44461.29863766204</v>
      </c>
      <c r="H3150" s="8">
        <v>44461.0</v>
      </c>
    </row>
    <row r="3151">
      <c r="A3151" s="2">
        <v>0.27</v>
      </c>
      <c r="B3151" s="2">
        <v>232.5</v>
      </c>
      <c r="C3151" s="2">
        <v>4.9</v>
      </c>
      <c r="D3151" s="2">
        <v>2.83</v>
      </c>
      <c r="E3151" s="2">
        <v>0.08</v>
      </c>
      <c r="F3151" s="2">
        <v>49.9</v>
      </c>
      <c r="G3151" s="4">
        <v>44461.29874182871</v>
      </c>
      <c r="H3151" s="8">
        <v>44461.0</v>
      </c>
    </row>
    <row r="3152">
      <c r="A3152" s="2">
        <v>0.26</v>
      </c>
      <c r="B3152" s="2">
        <v>232.0</v>
      </c>
      <c r="C3152" s="2">
        <v>4.4</v>
      </c>
      <c r="D3152" s="2">
        <v>2.83</v>
      </c>
      <c r="E3152" s="2">
        <v>0.07</v>
      </c>
      <c r="F3152" s="2">
        <v>50.0</v>
      </c>
      <c r="G3152" s="4">
        <v>44461.29884851852</v>
      </c>
      <c r="H3152" s="8">
        <v>44461.0</v>
      </c>
    </row>
    <row r="3153">
      <c r="A3153" s="2">
        <v>0.27</v>
      </c>
      <c r="B3153" s="2">
        <v>231.8</v>
      </c>
      <c r="C3153" s="2">
        <v>5.0</v>
      </c>
      <c r="D3153" s="2">
        <v>2.83</v>
      </c>
      <c r="E3153" s="2">
        <v>0.08</v>
      </c>
      <c r="F3153" s="2">
        <v>50.0</v>
      </c>
      <c r="G3153" s="4">
        <v>44461.29895546296</v>
      </c>
      <c r="H3153" s="8">
        <v>44461.0</v>
      </c>
    </row>
    <row r="3154">
      <c r="A3154" s="2">
        <v>0.28</v>
      </c>
      <c r="B3154" s="2">
        <v>232.0</v>
      </c>
      <c r="C3154" s="2">
        <v>9.1</v>
      </c>
      <c r="D3154" s="2">
        <v>2.83</v>
      </c>
      <c r="E3154" s="2">
        <v>0.14</v>
      </c>
      <c r="F3154" s="2">
        <v>50.0</v>
      </c>
      <c r="G3154" s="4">
        <v>44461.29906239583</v>
      </c>
      <c r="H3154" s="8">
        <v>44461.0</v>
      </c>
    </row>
    <row r="3155">
      <c r="A3155" s="2">
        <v>0.27</v>
      </c>
      <c r="B3155" s="2">
        <v>232.0</v>
      </c>
      <c r="C3155" s="2">
        <v>7.3</v>
      </c>
      <c r="D3155" s="2">
        <v>2.83</v>
      </c>
      <c r="E3155" s="2">
        <v>0.12</v>
      </c>
      <c r="F3155" s="2">
        <v>50.0</v>
      </c>
      <c r="G3155" s="4">
        <v>44461.29917047454</v>
      </c>
      <c r="H3155" s="8">
        <v>44461.0</v>
      </c>
    </row>
    <row r="3156">
      <c r="A3156" s="2">
        <v>0.26</v>
      </c>
      <c r="B3156" s="2">
        <v>232.1</v>
      </c>
      <c r="C3156" s="2">
        <v>5.3</v>
      </c>
      <c r="D3156" s="2">
        <v>2.83</v>
      </c>
      <c r="E3156" s="2">
        <v>0.09</v>
      </c>
      <c r="F3156" s="2">
        <v>50.0</v>
      </c>
      <c r="G3156" s="4">
        <v>44461.29927708334</v>
      </c>
      <c r="H3156" s="8">
        <v>44461.0</v>
      </c>
    </row>
    <row r="3157">
      <c r="A3157" s="2">
        <v>0.26</v>
      </c>
      <c r="B3157" s="2">
        <v>232.2</v>
      </c>
      <c r="C3157" s="2">
        <v>4.1</v>
      </c>
      <c r="D3157" s="2">
        <v>2.83</v>
      </c>
      <c r="E3157" s="2">
        <v>0.07</v>
      </c>
      <c r="F3157" s="2">
        <v>50.0</v>
      </c>
      <c r="G3157" s="4">
        <v>44461.2993837963</v>
      </c>
      <c r="H3157" s="8">
        <v>44461.0</v>
      </c>
    </row>
    <row r="3158">
      <c r="A3158" s="2">
        <v>0.27</v>
      </c>
      <c r="B3158" s="2">
        <v>232.1</v>
      </c>
      <c r="C3158" s="2">
        <v>4.9</v>
      </c>
      <c r="D3158" s="2">
        <v>2.83</v>
      </c>
      <c r="E3158" s="2">
        <v>0.08</v>
      </c>
      <c r="F3158" s="2">
        <v>50.0</v>
      </c>
      <c r="G3158" s="4">
        <v>44461.29948884259</v>
      </c>
      <c r="H3158" s="8">
        <v>44461.0</v>
      </c>
    </row>
    <row r="3159">
      <c r="A3159" s="2">
        <v>0.27</v>
      </c>
      <c r="B3159" s="2">
        <v>231.9</v>
      </c>
      <c r="C3159" s="2">
        <v>4.9</v>
      </c>
      <c r="D3159" s="2">
        <v>2.83</v>
      </c>
      <c r="E3159" s="2">
        <v>0.08</v>
      </c>
      <c r="F3159" s="2">
        <v>50.0</v>
      </c>
      <c r="G3159" s="4">
        <v>44461.299596446755</v>
      </c>
      <c r="H3159" s="8">
        <v>44461.0</v>
      </c>
    </row>
    <row r="3160">
      <c r="A3160" s="2">
        <v>0.28</v>
      </c>
      <c r="B3160" s="2">
        <v>231.9</v>
      </c>
      <c r="C3160" s="2">
        <v>7.5</v>
      </c>
      <c r="D3160" s="2">
        <v>2.83</v>
      </c>
      <c r="E3160" s="2">
        <v>0.12</v>
      </c>
      <c r="F3160" s="2">
        <v>50.0</v>
      </c>
      <c r="G3160" s="4">
        <v>44461.29970177083</v>
      </c>
      <c r="H3160" s="8">
        <v>44461.0</v>
      </c>
    </row>
    <row r="3161">
      <c r="A3161" s="2">
        <v>0.28</v>
      </c>
      <c r="B3161" s="2">
        <v>232.0</v>
      </c>
      <c r="C3161" s="2">
        <v>8.0</v>
      </c>
      <c r="D3161" s="2">
        <v>2.83</v>
      </c>
      <c r="E3161" s="2">
        <v>0.12</v>
      </c>
      <c r="F3161" s="2">
        <v>50.0</v>
      </c>
      <c r="G3161" s="4">
        <v>44461.29980811343</v>
      </c>
      <c r="H3161" s="8">
        <v>44461.0</v>
      </c>
    </row>
    <row r="3162">
      <c r="A3162" s="2">
        <v>0.29</v>
      </c>
      <c r="B3162" s="2">
        <v>232.0</v>
      </c>
      <c r="C3162" s="2">
        <v>9.7</v>
      </c>
      <c r="D3162" s="2">
        <v>2.83</v>
      </c>
      <c r="E3162" s="2">
        <v>0.15</v>
      </c>
      <c r="F3162" s="2">
        <v>50.0</v>
      </c>
      <c r="G3162" s="4">
        <v>44461.29991451389</v>
      </c>
      <c r="H3162" s="8">
        <v>44461.0</v>
      </c>
    </row>
    <row r="3163">
      <c r="A3163" s="2">
        <v>0.26</v>
      </c>
      <c r="B3163" s="2">
        <v>232.1</v>
      </c>
      <c r="C3163" s="2">
        <v>4.4</v>
      </c>
      <c r="D3163" s="2">
        <v>2.83</v>
      </c>
      <c r="E3163" s="2">
        <v>0.07</v>
      </c>
      <c r="F3163" s="2">
        <v>50.0</v>
      </c>
      <c r="G3163" s="4">
        <v>44461.300023993055</v>
      </c>
      <c r="H3163" s="8">
        <v>44461.0</v>
      </c>
    </row>
    <row r="3164">
      <c r="A3164" s="2">
        <v>0.26</v>
      </c>
      <c r="B3164" s="2">
        <v>232.0</v>
      </c>
      <c r="C3164" s="2">
        <v>2.8</v>
      </c>
      <c r="D3164" s="2">
        <v>2.83</v>
      </c>
      <c r="E3164" s="2">
        <v>0.05</v>
      </c>
      <c r="F3164" s="2">
        <v>50.0</v>
      </c>
      <c r="G3164" s="4">
        <v>44461.300136273145</v>
      </c>
      <c r="H3164" s="8">
        <v>44461.0</v>
      </c>
    </row>
    <row r="3165">
      <c r="A3165" s="2">
        <v>0.26</v>
      </c>
      <c r="B3165" s="2">
        <v>232.0</v>
      </c>
      <c r="C3165" s="2">
        <v>4.1</v>
      </c>
      <c r="D3165" s="2">
        <v>2.83</v>
      </c>
      <c r="E3165" s="2">
        <v>0.07</v>
      </c>
      <c r="F3165" s="2">
        <v>49.9</v>
      </c>
      <c r="G3165" s="4">
        <v>44461.300243958336</v>
      </c>
      <c r="H3165" s="8">
        <v>44461.0</v>
      </c>
    </row>
    <row r="3166">
      <c r="A3166" s="2">
        <v>0.26</v>
      </c>
      <c r="B3166" s="2">
        <v>232.0</v>
      </c>
      <c r="C3166" s="2">
        <v>3.9</v>
      </c>
      <c r="D3166" s="2">
        <v>2.83</v>
      </c>
      <c r="E3166" s="2">
        <v>0.06</v>
      </c>
      <c r="F3166" s="2">
        <v>49.9</v>
      </c>
      <c r="G3166" s="4">
        <v>44461.300344814816</v>
      </c>
      <c r="H3166" s="8">
        <v>44461.0</v>
      </c>
    </row>
    <row r="3167">
      <c r="A3167" s="2">
        <v>0.29</v>
      </c>
      <c r="B3167" s="2">
        <v>233.3</v>
      </c>
      <c r="C3167" s="2">
        <v>8.9</v>
      </c>
      <c r="D3167" s="2">
        <v>2.83</v>
      </c>
      <c r="E3167" s="2">
        <v>0.13</v>
      </c>
      <c r="F3167" s="2">
        <v>50.0</v>
      </c>
      <c r="G3167" s="4">
        <v>44461.30045097222</v>
      </c>
      <c r="H3167" s="8">
        <v>44461.0</v>
      </c>
    </row>
    <row r="3168">
      <c r="A3168" s="2">
        <v>0.28</v>
      </c>
      <c r="B3168" s="2">
        <v>233.2</v>
      </c>
      <c r="C3168" s="2">
        <v>7.9</v>
      </c>
      <c r="D3168" s="2">
        <v>2.83</v>
      </c>
      <c r="E3168" s="2">
        <v>0.12</v>
      </c>
      <c r="F3168" s="2">
        <v>50.0</v>
      </c>
      <c r="G3168" s="4">
        <v>44461.30055655092</v>
      </c>
      <c r="H3168" s="8">
        <v>44461.0</v>
      </c>
    </row>
    <row r="3169">
      <c r="A3169" s="2">
        <v>0.28</v>
      </c>
      <c r="B3169" s="2">
        <v>233.0</v>
      </c>
      <c r="C3169" s="2">
        <v>8.3</v>
      </c>
      <c r="D3169" s="2">
        <v>2.83</v>
      </c>
      <c r="E3169" s="2">
        <v>0.13</v>
      </c>
      <c r="F3169" s="2">
        <v>50.0</v>
      </c>
      <c r="G3169" s="4">
        <v>44461.30066645834</v>
      </c>
      <c r="H3169" s="8">
        <v>44461.0</v>
      </c>
    </row>
    <row r="3170">
      <c r="A3170" s="2">
        <v>0.26</v>
      </c>
      <c r="B3170" s="2">
        <v>233.1</v>
      </c>
      <c r="C3170" s="2">
        <v>4.1</v>
      </c>
      <c r="D3170" s="2">
        <v>2.83</v>
      </c>
      <c r="E3170" s="2">
        <v>0.07</v>
      </c>
      <c r="F3170" s="2">
        <v>50.0</v>
      </c>
      <c r="G3170" s="4">
        <v>44461.30076915509</v>
      </c>
      <c r="H3170" s="8">
        <v>44461.0</v>
      </c>
    </row>
    <row r="3171">
      <c r="A3171" s="2">
        <v>0.26</v>
      </c>
      <c r="B3171" s="2">
        <v>232.4</v>
      </c>
      <c r="C3171" s="2">
        <v>3.8</v>
      </c>
      <c r="D3171" s="2">
        <v>2.83</v>
      </c>
      <c r="E3171" s="2">
        <v>0.06</v>
      </c>
      <c r="F3171" s="2">
        <v>50.0</v>
      </c>
      <c r="G3171" s="4">
        <v>44461.300876678244</v>
      </c>
      <c r="H3171" s="8">
        <v>44461.0</v>
      </c>
    </row>
    <row r="3172">
      <c r="A3172" s="2">
        <v>0.26</v>
      </c>
      <c r="B3172" s="2">
        <v>232.4</v>
      </c>
      <c r="C3172" s="2">
        <v>3.6</v>
      </c>
      <c r="D3172" s="2">
        <v>2.83</v>
      </c>
      <c r="E3172" s="2">
        <v>0.06</v>
      </c>
      <c r="F3172" s="2">
        <v>50.0</v>
      </c>
      <c r="G3172" s="4">
        <v>44461.30098421296</v>
      </c>
      <c r="H3172" s="8">
        <v>44461.0</v>
      </c>
    </row>
    <row r="3173">
      <c r="A3173" s="2">
        <v>0.28</v>
      </c>
      <c r="B3173" s="2">
        <v>232.5</v>
      </c>
      <c r="C3173" s="2">
        <v>5.8</v>
      </c>
      <c r="D3173" s="2">
        <v>2.83</v>
      </c>
      <c r="E3173" s="2">
        <v>0.09</v>
      </c>
      <c r="F3173" s="2">
        <v>50.0</v>
      </c>
      <c r="G3173" s="4">
        <v>44461.30108696759</v>
      </c>
      <c r="H3173" s="8">
        <v>44461.0</v>
      </c>
    </row>
    <row r="3174">
      <c r="A3174" s="2">
        <v>0.27</v>
      </c>
      <c r="B3174" s="2">
        <v>232.4</v>
      </c>
      <c r="C3174" s="2">
        <v>5.1</v>
      </c>
      <c r="D3174" s="2">
        <v>2.83</v>
      </c>
      <c r="E3174" s="2">
        <v>0.08</v>
      </c>
      <c r="F3174" s="2">
        <v>50.0</v>
      </c>
      <c r="G3174" s="4">
        <v>44461.30119185185</v>
      </c>
      <c r="H3174" s="8">
        <v>44461.0</v>
      </c>
    </row>
    <row r="3175">
      <c r="A3175" s="2">
        <v>0.28</v>
      </c>
      <c r="B3175" s="2">
        <v>232.3</v>
      </c>
      <c r="C3175" s="2">
        <v>8.5</v>
      </c>
      <c r="D3175" s="2">
        <v>2.83</v>
      </c>
      <c r="E3175" s="2">
        <v>0.13</v>
      </c>
      <c r="F3175" s="2">
        <v>50.0</v>
      </c>
      <c r="G3175" s="4">
        <v>44461.301295937505</v>
      </c>
      <c r="H3175" s="8">
        <v>44461.0</v>
      </c>
    </row>
    <row r="3176">
      <c r="A3176" s="2">
        <v>0.28</v>
      </c>
      <c r="B3176" s="2">
        <v>232.6</v>
      </c>
      <c r="C3176" s="2">
        <v>8.0</v>
      </c>
      <c r="D3176" s="2">
        <v>2.83</v>
      </c>
      <c r="E3176" s="2">
        <v>0.12</v>
      </c>
      <c r="F3176" s="2">
        <v>50.0</v>
      </c>
      <c r="G3176" s="4">
        <v>44461.3013997338</v>
      </c>
      <c r="H3176" s="8">
        <v>44461.0</v>
      </c>
    </row>
    <row r="3177">
      <c r="A3177" s="2">
        <v>0.27</v>
      </c>
      <c r="B3177" s="2">
        <v>232.4</v>
      </c>
      <c r="C3177" s="2">
        <v>5.6</v>
      </c>
      <c r="D3177" s="2">
        <v>2.83</v>
      </c>
      <c r="E3177" s="2">
        <v>0.09</v>
      </c>
      <c r="F3177" s="2">
        <v>50.0</v>
      </c>
      <c r="G3177" s="4">
        <v>44461.30151005787</v>
      </c>
      <c r="H3177" s="8">
        <v>44461.0</v>
      </c>
    </row>
    <row r="3178">
      <c r="A3178" s="2">
        <v>0.27</v>
      </c>
      <c r="B3178" s="2">
        <v>232.1</v>
      </c>
      <c r="C3178" s="2">
        <v>6.6</v>
      </c>
      <c r="D3178" s="2">
        <v>2.83</v>
      </c>
      <c r="E3178" s="2">
        <v>0.11</v>
      </c>
      <c r="F3178" s="2">
        <v>50.0</v>
      </c>
      <c r="G3178" s="4">
        <v>44461.3016171875</v>
      </c>
      <c r="H3178" s="8">
        <v>44461.0</v>
      </c>
    </row>
    <row r="3179">
      <c r="A3179" s="2">
        <v>0.26</v>
      </c>
      <c r="B3179" s="2">
        <v>232.1</v>
      </c>
      <c r="C3179" s="2">
        <v>4.3</v>
      </c>
      <c r="D3179" s="2">
        <v>2.83</v>
      </c>
      <c r="E3179" s="2">
        <v>0.07</v>
      </c>
      <c r="F3179" s="2">
        <v>50.0</v>
      </c>
      <c r="G3179" s="4">
        <v>44461.30173178241</v>
      </c>
      <c r="H3179" s="8">
        <v>44461.0</v>
      </c>
    </row>
    <row r="3180">
      <c r="A3180" s="2">
        <v>0.26</v>
      </c>
      <c r="B3180" s="2">
        <v>232.0</v>
      </c>
      <c r="C3180" s="2">
        <v>3.7</v>
      </c>
      <c r="D3180" s="2">
        <v>2.83</v>
      </c>
      <c r="E3180" s="2">
        <v>0.06</v>
      </c>
      <c r="F3180" s="2">
        <v>50.0</v>
      </c>
      <c r="G3180" s="4">
        <v>44461.30183984953</v>
      </c>
      <c r="H3180" s="8">
        <v>44461.0</v>
      </c>
    </row>
    <row r="3181">
      <c r="A3181" s="2">
        <v>0.27</v>
      </c>
      <c r="B3181" s="2">
        <v>232.3</v>
      </c>
      <c r="C3181" s="2">
        <v>4.5</v>
      </c>
      <c r="D3181" s="2">
        <v>2.83</v>
      </c>
      <c r="E3181" s="2">
        <v>0.07</v>
      </c>
      <c r="F3181" s="2">
        <v>50.0</v>
      </c>
      <c r="G3181" s="4">
        <v>44461.301947141204</v>
      </c>
      <c r="H3181" s="8">
        <v>44461.0</v>
      </c>
    </row>
    <row r="3182">
      <c r="A3182" s="2">
        <v>0.27</v>
      </c>
      <c r="B3182" s="2">
        <v>232.1</v>
      </c>
      <c r="C3182" s="2">
        <v>5.3</v>
      </c>
      <c r="D3182" s="2">
        <v>2.83</v>
      </c>
      <c r="E3182" s="2">
        <v>0.09</v>
      </c>
      <c r="F3182" s="2">
        <v>50.0</v>
      </c>
      <c r="G3182" s="4">
        <v>44461.30205266204</v>
      </c>
      <c r="H3182" s="8">
        <v>44461.0</v>
      </c>
    </row>
    <row r="3183">
      <c r="A3183" s="2">
        <v>0.29</v>
      </c>
      <c r="B3183" s="2">
        <v>232.1</v>
      </c>
      <c r="C3183" s="2">
        <v>9.6</v>
      </c>
      <c r="D3183" s="2">
        <v>2.83</v>
      </c>
      <c r="E3183" s="2">
        <v>0.14</v>
      </c>
      <c r="F3183" s="2">
        <v>50.0</v>
      </c>
      <c r="G3183" s="4">
        <v>44461.30215638889</v>
      </c>
      <c r="H3183" s="8">
        <v>44461.0</v>
      </c>
    </row>
    <row r="3184">
      <c r="A3184" s="2">
        <v>0.28</v>
      </c>
      <c r="B3184" s="2">
        <v>232.1</v>
      </c>
      <c r="C3184" s="2">
        <v>8.6</v>
      </c>
      <c r="D3184" s="2">
        <v>2.83</v>
      </c>
      <c r="E3184" s="2">
        <v>0.13</v>
      </c>
      <c r="F3184" s="2">
        <v>50.0</v>
      </c>
      <c r="G3184" s="4">
        <v>44461.30226278935</v>
      </c>
      <c r="H3184" s="8">
        <v>44461.0</v>
      </c>
    </row>
    <row r="3185">
      <c r="A3185" s="2">
        <v>0.26</v>
      </c>
      <c r="B3185" s="2">
        <v>232.1</v>
      </c>
      <c r="C3185" s="2">
        <v>3.5</v>
      </c>
      <c r="D3185" s="2">
        <v>2.83</v>
      </c>
      <c r="E3185" s="2">
        <v>0.06</v>
      </c>
      <c r="F3185" s="2">
        <v>50.0</v>
      </c>
      <c r="G3185" s="4">
        <v>44461.302383773145</v>
      </c>
      <c r="H3185" s="8">
        <v>44461.0</v>
      </c>
    </row>
    <row r="3186">
      <c r="A3186" s="2">
        <v>0.27</v>
      </c>
      <c r="B3186" s="2">
        <v>232.0</v>
      </c>
      <c r="C3186" s="2">
        <v>4.8</v>
      </c>
      <c r="D3186" s="2">
        <v>2.83</v>
      </c>
      <c r="E3186" s="2">
        <v>0.08</v>
      </c>
      <c r="F3186" s="2">
        <v>50.0</v>
      </c>
      <c r="G3186" s="4">
        <v>44461.302489027774</v>
      </c>
      <c r="H3186" s="8">
        <v>44461.0</v>
      </c>
    </row>
    <row r="3187">
      <c r="A3187" s="2">
        <v>0.26</v>
      </c>
      <c r="B3187" s="2">
        <v>231.9</v>
      </c>
      <c r="C3187" s="2">
        <v>3.3</v>
      </c>
      <c r="D3187" s="2">
        <v>2.83</v>
      </c>
      <c r="E3187" s="2">
        <v>0.05</v>
      </c>
      <c r="F3187" s="2">
        <v>50.0</v>
      </c>
      <c r="G3187" s="4">
        <v>44461.30259546296</v>
      </c>
      <c r="H3187" s="8">
        <v>44461.0</v>
      </c>
    </row>
    <row r="3188">
      <c r="A3188" s="2">
        <v>0.26</v>
      </c>
      <c r="B3188" s="2">
        <v>232.2</v>
      </c>
      <c r="C3188" s="2">
        <v>3.4</v>
      </c>
      <c r="D3188" s="2">
        <v>2.83</v>
      </c>
      <c r="E3188" s="2">
        <v>0.06</v>
      </c>
      <c r="F3188" s="2">
        <v>50.0</v>
      </c>
      <c r="G3188" s="4">
        <v>44461.30270513889</v>
      </c>
      <c r="H3188" s="8">
        <v>44461.0</v>
      </c>
    </row>
    <row r="3189">
      <c r="A3189" s="2">
        <v>0.28</v>
      </c>
      <c r="B3189" s="2">
        <v>231.7</v>
      </c>
      <c r="C3189" s="2">
        <v>8.2</v>
      </c>
      <c r="D3189" s="2">
        <v>2.83</v>
      </c>
      <c r="E3189" s="2">
        <v>0.12</v>
      </c>
      <c r="F3189" s="2">
        <v>49.9</v>
      </c>
      <c r="G3189" s="4">
        <v>44461.30281142361</v>
      </c>
      <c r="H3189" s="8">
        <v>44461.0</v>
      </c>
    </row>
    <row r="3190">
      <c r="A3190" s="2">
        <v>0.28</v>
      </c>
      <c r="B3190" s="2">
        <v>231.8</v>
      </c>
      <c r="C3190" s="2">
        <v>8.2</v>
      </c>
      <c r="D3190" s="2">
        <v>2.83</v>
      </c>
      <c r="E3190" s="2">
        <v>0.12</v>
      </c>
      <c r="F3190" s="2">
        <v>50.0</v>
      </c>
      <c r="G3190" s="4">
        <v>44461.30291564815</v>
      </c>
      <c r="H3190" s="8">
        <v>44461.0</v>
      </c>
    </row>
    <row r="3191">
      <c r="A3191" s="2">
        <v>0.29</v>
      </c>
      <c r="B3191" s="2">
        <v>231.8</v>
      </c>
      <c r="C3191" s="2">
        <v>10.5</v>
      </c>
      <c r="D3191" s="2">
        <v>2.83</v>
      </c>
      <c r="E3191" s="2">
        <v>0.16</v>
      </c>
      <c r="F3191" s="2">
        <v>50.0</v>
      </c>
      <c r="G3191" s="4">
        <v>44461.30302306713</v>
      </c>
      <c r="H3191" s="8">
        <v>44461.0</v>
      </c>
    </row>
    <row r="3192">
      <c r="A3192" s="2">
        <v>0.28</v>
      </c>
      <c r="B3192" s="2">
        <v>232.0</v>
      </c>
      <c r="C3192" s="2">
        <v>8.7</v>
      </c>
      <c r="D3192" s="2">
        <v>2.83</v>
      </c>
      <c r="E3192" s="2">
        <v>0.13</v>
      </c>
      <c r="F3192" s="2">
        <v>50.0</v>
      </c>
      <c r="G3192" s="4">
        <v>44461.303129259264</v>
      </c>
      <c r="H3192" s="8">
        <v>44461.0</v>
      </c>
    </row>
    <row r="3193">
      <c r="A3193" s="2">
        <v>0.29</v>
      </c>
      <c r="B3193" s="2">
        <v>231.9</v>
      </c>
      <c r="C3193" s="2">
        <v>10.4</v>
      </c>
      <c r="D3193" s="2">
        <v>2.83</v>
      </c>
      <c r="E3193" s="2">
        <v>0.15</v>
      </c>
      <c r="F3193" s="2">
        <v>50.0</v>
      </c>
      <c r="G3193" s="4">
        <v>44461.303234652776</v>
      </c>
      <c r="H3193" s="8">
        <v>44461.0</v>
      </c>
    </row>
    <row r="3194">
      <c r="A3194" s="2">
        <v>0.26</v>
      </c>
      <c r="B3194" s="2">
        <v>232.0</v>
      </c>
      <c r="C3194" s="2">
        <v>4.0</v>
      </c>
      <c r="D3194" s="2">
        <v>2.83</v>
      </c>
      <c r="E3194" s="2">
        <v>0.07</v>
      </c>
      <c r="F3194" s="2">
        <v>50.0</v>
      </c>
      <c r="G3194" s="4">
        <v>44461.30334086806</v>
      </c>
      <c r="H3194" s="8">
        <v>44461.0</v>
      </c>
    </row>
    <row r="3195">
      <c r="A3195" s="2">
        <v>0.26</v>
      </c>
      <c r="B3195" s="2">
        <v>231.8</v>
      </c>
      <c r="C3195" s="2">
        <v>3.5</v>
      </c>
      <c r="D3195" s="2">
        <v>2.83</v>
      </c>
      <c r="E3195" s="2">
        <v>0.06</v>
      </c>
      <c r="F3195" s="2">
        <v>50.0</v>
      </c>
      <c r="G3195" s="4">
        <v>44461.303450694446</v>
      </c>
      <c r="H3195" s="8">
        <v>44461.0</v>
      </c>
    </row>
    <row r="3196">
      <c r="A3196" s="2">
        <v>0.26</v>
      </c>
      <c r="B3196" s="2">
        <v>231.8</v>
      </c>
      <c r="C3196" s="2">
        <v>4.2</v>
      </c>
      <c r="D3196" s="2">
        <v>2.83</v>
      </c>
      <c r="E3196" s="2">
        <v>0.07</v>
      </c>
      <c r="F3196" s="2">
        <v>50.0</v>
      </c>
      <c r="G3196" s="4">
        <v>44461.30355864583</v>
      </c>
      <c r="H3196" s="8">
        <v>44461.0</v>
      </c>
    </row>
    <row r="3197">
      <c r="A3197" s="2">
        <v>0.26</v>
      </c>
      <c r="B3197" s="2">
        <v>231.7</v>
      </c>
      <c r="C3197" s="2">
        <v>3.1</v>
      </c>
      <c r="D3197" s="2">
        <v>2.83</v>
      </c>
      <c r="E3197" s="2">
        <v>0.05</v>
      </c>
      <c r="F3197" s="2">
        <v>50.0</v>
      </c>
      <c r="G3197" s="4">
        <v>44461.30366634259</v>
      </c>
      <c r="H3197" s="8">
        <v>44461.0</v>
      </c>
    </row>
    <row r="3198">
      <c r="A3198" s="2">
        <v>0.29</v>
      </c>
      <c r="B3198" s="2">
        <v>231.8</v>
      </c>
      <c r="C3198" s="2">
        <v>8.7</v>
      </c>
      <c r="D3198" s="2">
        <v>2.83</v>
      </c>
      <c r="E3198" s="2">
        <v>0.13</v>
      </c>
      <c r="F3198" s="2">
        <v>50.0</v>
      </c>
      <c r="G3198" s="4">
        <v>44461.30377212963</v>
      </c>
      <c r="H3198" s="8">
        <v>44461.0</v>
      </c>
    </row>
    <row r="3199">
      <c r="A3199" s="2">
        <v>0.28</v>
      </c>
      <c r="B3199" s="2">
        <v>231.8</v>
      </c>
      <c r="C3199" s="2">
        <v>8.9</v>
      </c>
      <c r="D3199" s="2">
        <v>2.83</v>
      </c>
      <c r="E3199" s="2">
        <v>0.14</v>
      </c>
      <c r="F3199" s="2">
        <v>50.0</v>
      </c>
      <c r="G3199" s="4">
        <v>44461.303880775464</v>
      </c>
      <c r="H3199" s="8">
        <v>44461.0</v>
      </c>
    </row>
    <row r="3200">
      <c r="A3200" s="2">
        <v>0.28</v>
      </c>
      <c r="B3200" s="2">
        <v>231.7</v>
      </c>
      <c r="C3200" s="2">
        <v>8.4</v>
      </c>
      <c r="D3200" s="2">
        <v>2.83</v>
      </c>
      <c r="E3200" s="2">
        <v>0.13</v>
      </c>
      <c r="F3200" s="2">
        <v>49.9</v>
      </c>
      <c r="G3200" s="4">
        <v>44461.30398762731</v>
      </c>
      <c r="H3200" s="8">
        <v>44461.0</v>
      </c>
    </row>
    <row r="3201">
      <c r="A3201" s="2">
        <v>0.26</v>
      </c>
      <c r="B3201" s="2">
        <v>231.7</v>
      </c>
      <c r="C3201" s="2">
        <v>4.2</v>
      </c>
      <c r="D3201" s="2">
        <v>2.83</v>
      </c>
      <c r="E3201" s="2">
        <v>0.07</v>
      </c>
      <c r="F3201" s="2">
        <v>49.9</v>
      </c>
      <c r="G3201" s="4">
        <v>44461.30409638889</v>
      </c>
      <c r="H3201" s="8">
        <v>44461.0</v>
      </c>
    </row>
    <row r="3202">
      <c r="A3202" s="2">
        <v>0.26</v>
      </c>
      <c r="B3202" s="2">
        <v>232.1</v>
      </c>
      <c r="C3202" s="2">
        <v>3.7</v>
      </c>
      <c r="D3202" s="2">
        <v>2.83</v>
      </c>
      <c r="E3202" s="2">
        <v>0.06</v>
      </c>
      <c r="F3202" s="2">
        <v>50.0</v>
      </c>
      <c r="G3202" s="4">
        <v>44461.30420396991</v>
      </c>
      <c r="H3202" s="8">
        <v>44461.0</v>
      </c>
    </row>
    <row r="3203">
      <c r="A3203" s="2">
        <v>0.27</v>
      </c>
      <c r="B3203" s="2">
        <v>232.3</v>
      </c>
      <c r="C3203" s="2">
        <v>5.1</v>
      </c>
      <c r="D3203" s="2">
        <v>2.83</v>
      </c>
      <c r="E3203" s="2">
        <v>0.08</v>
      </c>
      <c r="F3203" s="2">
        <v>49.9</v>
      </c>
      <c r="G3203" s="4">
        <v>44461.30431057871</v>
      </c>
      <c r="H3203" s="8">
        <v>44461.0</v>
      </c>
    </row>
    <row r="3204">
      <c r="A3204" s="2">
        <v>0.28</v>
      </c>
      <c r="B3204" s="2">
        <v>232.3</v>
      </c>
      <c r="C3204" s="2">
        <v>7.4</v>
      </c>
      <c r="D3204" s="2">
        <v>2.83</v>
      </c>
      <c r="E3204" s="2">
        <v>0.11</v>
      </c>
      <c r="F3204" s="2">
        <v>50.0</v>
      </c>
      <c r="G3204" s="4">
        <v>44461.304418113425</v>
      </c>
      <c r="H3204" s="8">
        <v>44461.0</v>
      </c>
    </row>
    <row r="3205">
      <c r="A3205" s="2">
        <v>0.29</v>
      </c>
      <c r="B3205" s="2">
        <v>232.4</v>
      </c>
      <c r="C3205" s="2">
        <v>9.8</v>
      </c>
      <c r="D3205" s="2">
        <v>2.83</v>
      </c>
      <c r="E3205" s="2">
        <v>0.14</v>
      </c>
      <c r="F3205" s="2">
        <v>50.0</v>
      </c>
      <c r="G3205" s="4">
        <v>44461.30452474537</v>
      </c>
      <c r="H3205" s="8">
        <v>44461.0</v>
      </c>
    </row>
    <row r="3206">
      <c r="A3206" s="2">
        <v>0.26</v>
      </c>
      <c r="B3206" s="2">
        <v>232.7</v>
      </c>
      <c r="C3206" s="2">
        <v>3.7</v>
      </c>
      <c r="D3206" s="2">
        <v>2.83</v>
      </c>
      <c r="E3206" s="2">
        <v>0.06</v>
      </c>
      <c r="F3206" s="2">
        <v>50.0</v>
      </c>
      <c r="G3206" s="4">
        <v>44461.30463244213</v>
      </c>
      <c r="H3206" s="8">
        <v>44461.0</v>
      </c>
    </row>
    <row r="3207">
      <c r="A3207" s="2">
        <v>0.26</v>
      </c>
      <c r="B3207" s="2">
        <v>232.9</v>
      </c>
      <c r="C3207" s="2">
        <v>3.2</v>
      </c>
      <c r="D3207" s="2">
        <v>2.83</v>
      </c>
      <c r="E3207" s="2">
        <v>0.05</v>
      </c>
      <c r="F3207" s="2">
        <v>50.0</v>
      </c>
      <c r="G3207" s="4">
        <v>44461.30473950232</v>
      </c>
      <c r="H3207" s="8">
        <v>44461.0</v>
      </c>
    </row>
    <row r="3208">
      <c r="A3208" s="2">
        <v>0.26</v>
      </c>
      <c r="B3208" s="2">
        <v>232.9</v>
      </c>
      <c r="C3208" s="2">
        <v>3.7</v>
      </c>
      <c r="D3208" s="2">
        <v>2.83</v>
      </c>
      <c r="E3208" s="2">
        <v>0.06</v>
      </c>
      <c r="F3208" s="2">
        <v>50.0</v>
      </c>
      <c r="G3208" s="4">
        <v>44461.304849050925</v>
      </c>
      <c r="H3208" s="8">
        <v>44461.0</v>
      </c>
    </row>
    <row r="3209">
      <c r="A3209" s="2">
        <v>0.28</v>
      </c>
      <c r="B3209" s="2">
        <v>232.8</v>
      </c>
      <c r="C3209" s="2">
        <v>7.2</v>
      </c>
      <c r="D3209" s="2">
        <v>2.83</v>
      </c>
      <c r="E3209" s="2">
        <v>0.11</v>
      </c>
      <c r="F3209" s="2">
        <v>50.0</v>
      </c>
      <c r="G3209" s="4">
        <v>44461.304959236106</v>
      </c>
      <c r="H3209" s="8">
        <v>44461.0</v>
      </c>
    </row>
    <row r="3210">
      <c r="A3210" s="2">
        <v>0.29</v>
      </c>
      <c r="B3210" s="2">
        <v>232.7</v>
      </c>
      <c r="C3210" s="2">
        <v>9.1</v>
      </c>
      <c r="D3210" s="2">
        <v>2.83</v>
      </c>
      <c r="E3210" s="2">
        <v>0.14</v>
      </c>
      <c r="F3210" s="2">
        <v>50.0</v>
      </c>
      <c r="G3210" s="4">
        <v>44461.30507108796</v>
      </c>
      <c r="H3210" s="8">
        <v>44461.0</v>
      </c>
    </row>
    <row r="3211">
      <c r="A3211" s="2">
        <v>0.28</v>
      </c>
      <c r="B3211" s="2">
        <v>231.6</v>
      </c>
      <c r="C3211" s="2">
        <v>6.9</v>
      </c>
      <c r="D3211" s="2">
        <v>2.83</v>
      </c>
      <c r="E3211" s="2">
        <v>0.11</v>
      </c>
      <c r="F3211" s="2">
        <v>50.0</v>
      </c>
      <c r="G3211" s="4">
        <v>44461.305180104166</v>
      </c>
      <c r="H3211" s="8">
        <v>44461.0</v>
      </c>
    </row>
    <row r="3212">
      <c r="A3212" s="2">
        <v>0.26</v>
      </c>
      <c r="B3212" s="2">
        <v>231.4</v>
      </c>
      <c r="C3212" s="2">
        <v>3.4</v>
      </c>
      <c r="D3212" s="2">
        <v>2.83</v>
      </c>
      <c r="E3212" s="2">
        <v>0.06</v>
      </c>
      <c r="F3212" s="2">
        <v>50.0</v>
      </c>
      <c r="G3212" s="4">
        <v>44461.305288310185</v>
      </c>
      <c r="H3212" s="8">
        <v>44461.0</v>
      </c>
    </row>
    <row r="3213">
      <c r="A3213" s="2">
        <v>0.27</v>
      </c>
      <c r="B3213" s="2">
        <v>231.6</v>
      </c>
      <c r="C3213" s="2">
        <v>4.4</v>
      </c>
      <c r="D3213" s="2">
        <v>2.83</v>
      </c>
      <c r="E3213" s="2">
        <v>0.07</v>
      </c>
      <c r="F3213" s="2">
        <v>50.0</v>
      </c>
      <c r="G3213" s="4">
        <v>44461.30539739583</v>
      </c>
      <c r="H3213" s="8">
        <v>44461.0</v>
      </c>
    </row>
    <row r="3214">
      <c r="A3214" s="2">
        <v>0.28</v>
      </c>
      <c r="B3214" s="2">
        <v>230.2</v>
      </c>
      <c r="C3214" s="2">
        <v>8.2</v>
      </c>
      <c r="D3214" s="2">
        <v>2.83</v>
      </c>
      <c r="E3214" s="2">
        <v>0.13</v>
      </c>
      <c r="F3214" s="2">
        <v>50.0</v>
      </c>
      <c r="G3214" s="4">
        <v>44461.30550476852</v>
      </c>
      <c r="H3214" s="8">
        <v>44461.0</v>
      </c>
    </row>
    <row r="3215">
      <c r="A3215" s="2">
        <v>0.27</v>
      </c>
      <c r="B3215" s="2">
        <v>230.1</v>
      </c>
      <c r="C3215" s="2">
        <v>7.0</v>
      </c>
      <c r="D3215" s="2">
        <v>2.83</v>
      </c>
      <c r="E3215" s="2">
        <v>0.11</v>
      </c>
      <c r="F3215" s="2">
        <v>50.0</v>
      </c>
      <c r="G3215" s="4">
        <v>44461.305620706014</v>
      </c>
      <c r="H3215" s="8">
        <v>44461.0</v>
      </c>
    </row>
    <row r="3216">
      <c r="A3216" s="2">
        <v>0.26</v>
      </c>
      <c r="B3216" s="2">
        <v>230.0</v>
      </c>
      <c r="C3216" s="2">
        <v>3.0</v>
      </c>
      <c r="D3216" s="2">
        <v>2.83</v>
      </c>
      <c r="E3216" s="2">
        <v>0.05</v>
      </c>
      <c r="F3216" s="2">
        <v>50.0</v>
      </c>
      <c r="G3216" s="4">
        <v>44461.305728692125</v>
      </c>
      <c r="H3216" s="8">
        <v>44461.0</v>
      </c>
    </row>
    <row r="3217">
      <c r="A3217" s="2">
        <v>0.27</v>
      </c>
      <c r="B3217" s="2">
        <v>230.0</v>
      </c>
      <c r="C3217" s="2">
        <v>4.4</v>
      </c>
      <c r="D3217" s="2">
        <v>2.83</v>
      </c>
      <c r="E3217" s="2">
        <v>0.07</v>
      </c>
      <c r="F3217" s="2">
        <v>50.0</v>
      </c>
      <c r="G3217" s="4">
        <v>44461.305835543986</v>
      </c>
      <c r="H3217" s="8">
        <v>44461.0</v>
      </c>
    </row>
    <row r="3218">
      <c r="A3218" s="2">
        <v>0.27</v>
      </c>
      <c r="B3218" s="2">
        <v>229.8</v>
      </c>
      <c r="C3218" s="2">
        <v>4.6</v>
      </c>
      <c r="D3218" s="2">
        <v>2.83</v>
      </c>
      <c r="E3218" s="2">
        <v>0.07</v>
      </c>
      <c r="F3218" s="2">
        <v>49.9</v>
      </c>
      <c r="G3218" s="4">
        <v>44461.30594359954</v>
      </c>
      <c r="H3218" s="8">
        <v>44461.0</v>
      </c>
    </row>
    <row r="3219">
      <c r="A3219" s="2">
        <v>0.27</v>
      </c>
      <c r="B3219" s="2">
        <v>229.7</v>
      </c>
      <c r="C3219" s="2">
        <v>5.4</v>
      </c>
      <c r="D3219" s="2">
        <v>2.83</v>
      </c>
      <c r="E3219" s="2">
        <v>0.09</v>
      </c>
      <c r="F3219" s="2">
        <v>50.0</v>
      </c>
      <c r="G3219" s="4">
        <v>44461.30604947917</v>
      </c>
      <c r="H3219" s="8">
        <v>44461.0</v>
      </c>
    </row>
    <row r="3220">
      <c r="A3220" s="2">
        <v>0.28</v>
      </c>
      <c r="B3220" s="2">
        <v>229.7</v>
      </c>
      <c r="C3220" s="2">
        <v>8.8</v>
      </c>
      <c r="D3220" s="2">
        <v>2.83</v>
      </c>
      <c r="E3220" s="2">
        <v>0.14</v>
      </c>
      <c r="F3220" s="2">
        <v>50.0</v>
      </c>
      <c r="G3220" s="4">
        <v>44461.306157847226</v>
      </c>
      <c r="H3220" s="8">
        <v>44461.0</v>
      </c>
    </row>
    <row r="3221">
      <c r="A3221" s="2">
        <v>0.27</v>
      </c>
      <c r="B3221" s="2">
        <v>230.0</v>
      </c>
      <c r="C3221" s="2">
        <v>6.7</v>
      </c>
      <c r="D3221" s="2">
        <v>2.83</v>
      </c>
      <c r="E3221" s="2">
        <v>0.11</v>
      </c>
      <c r="F3221" s="2">
        <v>49.9</v>
      </c>
      <c r="G3221" s="4">
        <v>44461.30626920139</v>
      </c>
      <c r="H3221" s="8">
        <v>44461.0</v>
      </c>
    </row>
    <row r="3222">
      <c r="A3222" s="2">
        <v>0.26</v>
      </c>
      <c r="B3222" s="2">
        <v>230.0</v>
      </c>
      <c r="C3222" s="2">
        <v>4.1</v>
      </c>
      <c r="D3222" s="2">
        <v>2.83</v>
      </c>
      <c r="E3222" s="2">
        <v>0.07</v>
      </c>
      <c r="F3222" s="2">
        <v>50.0</v>
      </c>
      <c r="G3222" s="4">
        <v>44461.30637481481</v>
      </c>
      <c r="H3222" s="8">
        <v>44461.0</v>
      </c>
    </row>
    <row r="3223">
      <c r="A3223" s="2">
        <v>0.27</v>
      </c>
      <c r="B3223" s="2">
        <v>230.0</v>
      </c>
      <c r="C3223" s="2">
        <v>5.1</v>
      </c>
      <c r="D3223" s="2">
        <v>2.83</v>
      </c>
      <c r="E3223" s="2">
        <v>0.08</v>
      </c>
      <c r="F3223" s="2">
        <v>50.0</v>
      </c>
      <c r="G3223" s="4">
        <v>44461.30648053241</v>
      </c>
      <c r="H3223" s="8">
        <v>44461.0</v>
      </c>
    </row>
    <row r="3224">
      <c r="A3224" s="2">
        <v>0.28</v>
      </c>
      <c r="B3224" s="2">
        <v>230.1</v>
      </c>
      <c r="C3224" s="2">
        <v>5.9</v>
      </c>
      <c r="D3224" s="2">
        <v>2.83</v>
      </c>
      <c r="E3224" s="2">
        <v>0.09</v>
      </c>
      <c r="F3224" s="2">
        <v>50.0</v>
      </c>
      <c r="G3224" s="4">
        <v>44461.30658642361</v>
      </c>
      <c r="H3224" s="8">
        <v>44461.0</v>
      </c>
    </row>
    <row r="3225">
      <c r="A3225" s="2">
        <v>0.28</v>
      </c>
      <c r="B3225" s="2">
        <v>230.2</v>
      </c>
      <c r="C3225" s="2">
        <v>8.9</v>
      </c>
      <c r="D3225" s="2">
        <v>2.83</v>
      </c>
      <c r="E3225" s="2">
        <v>0.14</v>
      </c>
      <c r="F3225" s="2">
        <v>50.0</v>
      </c>
      <c r="G3225" s="4">
        <v>44461.306695694446</v>
      </c>
      <c r="H3225" s="8">
        <v>44461.0</v>
      </c>
    </row>
    <row r="3226">
      <c r="A3226" s="2">
        <v>0.28</v>
      </c>
      <c r="B3226" s="2">
        <v>230.5</v>
      </c>
      <c r="C3226" s="2">
        <v>8.3</v>
      </c>
      <c r="D3226" s="2">
        <v>2.83</v>
      </c>
      <c r="E3226" s="2">
        <v>0.13</v>
      </c>
      <c r="F3226" s="2">
        <v>50.0</v>
      </c>
      <c r="G3226" s="4">
        <v>44461.30685334491</v>
      </c>
      <c r="H3226" s="8">
        <v>44461.0</v>
      </c>
    </row>
    <row r="3227">
      <c r="A3227" s="2">
        <v>0.26</v>
      </c>
      <c r="B3227" s="2">
        <v>230.7</v>
      </c>
      <c r="C3227" s="2">
        <v>3.3</v>
      </c>
      <c r="D3227" s="2">
        <v>2.83</v>
      </c>
      <c r="E3227" s="2">
        <v>0.05</v>
      </c>
      <c r="F3227" s="2">
        <v>50.0</v>
      </c>
      <c r="G3227" s="4">
        <v>44461.30695663195</v>
      </c>
      <c r="H3227" s="8">
        <v>44461.0</v>
      </c>
    </row>
    <row r="3228">
      <c r="A3228" s="2">
        <v>0.26</v>
      </c>
      <c r="B3228" s="2">
        <v>231.5</v>
      </c>
      <c r="C3228" s="2">
        <v>4.1</v>
      </c>
      <c r="D3228" s="2">
        <v>2.83</v>
      </c>
      <c r="E3228" s="2">
        <v>0.07</v>
      </c>
      <c r="F3228" s="2">
        <v>50.0</v>
      </c>
      <c r="G3228" s="4">
        <v>44461.30706643518</v>
      </c>
      <c r="H3228" s="8">
        <v>44461.0</v>
      </c>
    </row>
    <row r="3229">
      <c r="A3229" s="2">
        <v>0.26</v>
      </c>
      <c r="B3229" s="2">
        <v>231.8</v>
      </c>
      <c r="C3229" s="2">
        <v>4.3</v>
      </c>
      <c r="D3229" s="2">
        <v>2.83</v>
      </c>
      <c r="E3229" s="2">
        <v>0.07</v>
      </c>
      <c r="F3229" s="2">
        <v>50.0</v>
      </c>
      <c r="G3229" s="4">
        <v>44461.307169837964</v>
      </c>
      <c r="H3229" s="8">
        <v>44461.0</v>
      </c>
    </row>
    <row r="3230">
      <c r="A3230" s="2">
        <v>0.27</v>
      </c>
      <c r="B3230" s="2">
        <v>231.8</v>
      </c>
      <c r="C3230" s="2">
        <v>5.0</v>
      </c>
      <c r="D3230" s="2">
        <v>2.83</v>
      </c>
      <c r="E3230" s="2">
        <v>0.08</v>
      </c>
      <c r="F3230" s="2">
        <v>50.0</v>
      </c>
      <c r="G3230" s="4">
        <v>44461.30727996527</v>
      </c>
      <c r="H3230" s="8">
        <v>44461.0</v>
      </c>
    </row>
    <row r="3231">
      <c r="A3231" s="2">
        <v>0.27</v>
      </c>
      <c r="B3231" s="2">
        <v>231.5</v>
      </c>
      <c r="C3231" s="2">
        <v>5.4</v>
      </c>
      <c r="D3231" s="2">
        <v>2.83</v>
      </c>
      <c r="E3231" s="2">
        <v>0.09</v>
      </c>
      <c r="F3231" s="2">
        <v>50.0</v>
      </c>
      <c r="G3231" s="4">
        <v>44461.30742170139</v>
      </c>
      <c r="H3231" s="8">
        <v>44461.0</v>
      </c>
    </row>
    <row r="3232">
      <c r="A3232" s="2">
        <v>0.28</v>
      </c>
      <c r="B3232" s="2">
        <v>231.7</v>
      </c>
      <c r="C3232" s="2">
        <v>7.0</v>
      </c>
      <c r="D3232" s="2">
        <v>2.83</v>
      </c>
      <c r="E3232" s="2">
        <v>0.11</v>
      </c>
      <c r="F3232" s="2">
        <v>50.0</v>
      </c>
      <c r="G3232" s="4">
        <v>44461.30752611111</v>
      </c>
      <c r="H3232" s="8">
        <v>44461.0</v>
      </c>
    </row>
    <row r="3233">
      <c r="A3233" s="2">
        <v>0.29</v>
      </c>
      <c r="B3233" s="2">
        <v>231.7</v>
      </c>
      <c r="C3233" s="2">
        <v>10.0</v>
      </c>
      <c r="D3233" s="2">
        <v>2.83</v>
      </c>
      <c r="E3233" s="2">
        <v>0.15</v>
      </c>
      <c r="F3233" s="2">
        <v>50.0</v>
      </c>
      <c r="G3233" s="4">
        <v>44461.30763193287</v>
      </c>
      <c r="H3233" s="8">
        <v>44461.0</v>
      </c>
    </row>
    <row r="3234">
      <c r="A3234" s="2">
        <v>0.26</v>
      </c>
      <c r="B3234" s="2">
        <v>231.8</v>
      </c>
      <c r="C3234" s="2">
        <v>3.3</v>
      </c>
      <c r="D3234" s="2">
        <v>2.83</v>
      </c>
      <c r="E3234" s="2">
        <v>0.05</v>
      </c>
      <c r="F3234" s="2">
        <v>50.0</v>
      </c>
      <c r="G3234" s="4">
        <v>44461.3077425</v>
      </c>
      <c r="H3234" s="8">
        <v>44461.0</v>
      </c>
    </row>
    <row r="3235">
      <c r="A3235" s="2">
        <v>0.26</v>
      </c>
      <c r="B3235" s="2">
        <v>231.9</v>
      </c>
      <c r="C3235" s="2">
        <v>4.1</v>
      </c>
      <c r="D3235" s="2">
        <v>2.83</v>
      </c>
      <c r="E3235" s="2">
        <v>0.07</v>
      </c>
      <c r="F3235" s="2">
        <v>50.0</v>
      </c>
      <c r="G3235" s="4">
        <v>44461.30785403935</v>
      </c>
      <c r="H3235" s="8">
        <v>44461.0</v>
      </c>
    </row>
    <row r="3236">
      <c r="A3236" s="2">
        <v>0.26</v>
      </c>
      <c r="B3236" s="2">
        <v>231.5</v>
      </c>
      <c r="C3236" s="2">
        <v>3.7</v>
      </c>
      <c r="D3236" s="2">
        <v>2.83</v>
      </c>
      <c r="E3236" s="2">
        <v>0.06</v>
      </c>
      <c r="F3236" s="2">
        <v>49.9</v>
      </c>
      <c r="G3236" s="4">
        <v>44461.30795902778</v>
      </c>
      <c r="H3236" s="8">
        <v>44461.0</v>
      </c>
    </row>
    <row r="3237">
      <c r="A3237" s="2">
        <v>0.29</v>
      </c>
      <c r="B3237" s="2">
        <v>231.7</v>
      </c>
      <c r="C3237" s="2">
        <v>9.4</v>
      </c>
      <c r="D3237" s="2">
        <v>2.83</v>
      </c>
      <c r="E3237" s="2">
        <v>0.14</v>
      </c>
      <c r="F3237" s="2">
        <v>49.9</v>
      </c>
      <c r="G3237" s="4">
        <v>44461.308067210644</v>
      </c>
      <c r="H3237" s="8">
        <v>44461.0</v>
      </c>
    </row>
    <row r="3238">
      <c r="A3238" s="2">
        <v>0.27</v>
      </c>
      <c r="B3238" s="2">
        <v>231.3</v>
      </c>
      <c r="C3238" s="2">
        <v>6.2</v>
      </c>
      <c r="D3238" s="2">
        <v>2.83</v>
      </c>
      <c r="E3238" s="2">
        <v>0.1</v>
      </c>
      <c r="F3238" s="2">
        <v>49.9</v>
      </c>
      <c r="G3238" s="4">
        <v>44461.30817523148</v>
      </c>
      <c r="H3238" s="8">
        <v>44461.0</v>
      </c>
    </row>
    <row r="3239">
      <c r="A3239" s="2">
        <v>0.26</v>
      </c>
      <c r="B3239" s="2">
        <v>231.5</v>
      </c>
      <c r="C3239" s="2">
        <v>5.1</v>
      </c>
      <c r="D3239" s="2">
        <v>2.83</v>
      </c>
      <c r="E3239" s="2">
        <v>0.08</v>
      </c>
      <c r="F3239" s="2">
        <v>49.9</v>
      </c>
      <c r="G3239" s="4">
        <v>44461.308280972225</v>
      </c>
      <c r="H3239" s="8">
        <v>44461.0</v>
      </c>
    </row>
    <row r="3240">
      <c r="A3240" s="2">
        <v>0.26</v>
      </c>
      <c r="B3240" s="2">
        <v>231.6</v>
      </c>
      <c r="C3240" s="2">
        <v>4.1</v>
      </c>
      <c r="D3240" s="2">
        <v>2.83</v>
      </c>
      <c r="E3240" s="2">
        <v>0.07</v>
      </c>
      <c r="F3240" s="2">
        <v>49.9</v>
      </c>
      <c r="G3240" s="4">
        <v>44461.308387199075</v>
      </c>
      <c r="H3240" s="8">
        <v>44461.0</v>
      </c>
    </row>
    <row r="3241">
      <c r="A3241" s="2">
        <v>0.26</v>
      </c>
      <c r="B3241" s="2">
        <v>231.4</v>
      </c>
      <c r="C3241" s="2">
        <v>3.2</v>
      </c>
      <c r="D3241" s="2">
        <v>2.83</v>
      </c>
      <c r="E3241" s="2">
        <v>0.05</v>
      </c>
      <c r="F3241" s="2">
        <v>50.0</v>
      </c>
      <c r="G3241" s="4">
        <v>44461.30849226852</v>
      </c>
      <c r="H3241" s="8">
        <v>44461.0</v>
      </c>
    </row>
    <row r="3242">
      <c r="A3242" s="2">
        <v>0.26</v>
      </c>
      <c r="B3242" s="2">
        <v>231.5</v>
      </c>
      <c r="C3242" s="2">
        <v>3.6</v>
      </c>
      <c r="D3242" s="2">
        <v>2.83</v>
      </c>
      <c r="E3242" s="2">
        <v>0.06</v>
      </c>
      <c r="F3242" s="2">
        <v>49.9</v>
      </c>
      <c r="G3242" s="4">
        <v>44461.30859568287</v>
      </c>
      <c r="H3242" s="8">
        <v>44461.0</v>
      </c>
    </row>
    <row r="3243">
      <c r="A3243" s="2">
        <v>0.28</v>
      </c>
      <c r="B3243" s="2">
        <v>231.3</v>
      </c>
      <c r="C3243" s="2">
        <v>9.0</v>
      </c>
      <c r="D3243" s="2">
        <v>2.83</v>
      </c>
      <c r="E3243" s="2">
        <v>0.14</v>
      </c>
      <c r="F3243" s="2">
        <v>49.9</v>
      </c>
      <c r="G3243" s="4">
        <v>44461.30870480324</v>
      </c>
      <c r="H3243" s="8">
        <v>44461.0</v>
      </c>
    </row>
    <row r="3244">
      <c r="A3244" s="2">
        <v>0.28</v>
      </c>
      <c r="B3244" s="2">
        <v>231.2</v>
      </c>
      <c r="C3244" s="2">
        <v>8.7</v>
      </c>
      <c r="D3244" s="2">
        <v>2.83</v>
      </c>
      <c r="E3244" s="2">
        <v>0.13</v>
      </c>
      <c r="F3244" s="2">
        <v>49.9</v>
      </c>
      <c r="G3244" s="4">
        <v>44461.30880814815</v>
      </c>
      <c r="H3244" s="8">
        <v>44461.0</v>
      </c>
    </row>
    <row r="3245">
      <c r="A3245" s="2">
        <v>0.26</v>
      </c>
      <c r="B3245" s="2">
        <v>231.3</v>
      </c>
      <c r="C3245" s="2">
        <v>4.3</v>
      </c>
      <c r="D3245" s="2">
        <v>2.83</v>
      </c>
      <c r="E3245" s="2">
        <v>0.07</v>
      </c>
      <c r="F3245" s="2">
        <v>49.9</v>
      </c>
      <c r="G3245" s="4">
        <v>44461.30891528935</v>
      </c>
      <c r="H3245" s="8">
        <v>44461.0</v>
      </c>
    </row>
    <row r="3246">
      <c r="A3246" s="2">
        <v>0.26</v>
      </c>
      <c r="B3246" s="2">
        <v>231.2</v>
      </c>
      <c r="C3246" s="2">
        <v>3.5</v>
      </c>
      <c r="D3246" s="2">
        <v>2.83</v>
      </c>
      <c r="E3246" s="2">
        <v>0.06</v>
      </c>
      <c r="F3246" s="2">
        <v>49.9</v>
      </c>
      <c r="G3246" s="4">
        <v>44461.30902402778</v>
      </c>
      <c r="H3246" s="8">
        <v>44461.0</v>
      </c>
    </row>
    <row r="3247">
      <c r="A3247" s="2">
        <v>0.26</v>
      </c>
      <c r="B3247" s="2">
        <v>231.4</v>
      </c>
      <c r="C3247" s="2">
        <v>3.2</v>
      </c>
      <c r="D3247" s="2">
        <v>2.83</v>
      </c>
      <c r="E3247" s="2">
        <v>0.05</v>
      </c>
      <c r="F3247" s="2">
        <v>49.9</v>
      </c>
      <c r="G3247" s="4">
        <v>44461.30913347223</v>
      </c>
      <c r="H3247" s="8">
        <v>44461.0</v>
      </c>
    </row>
    <row r="3248">
      <c r="A3248" s="2">
        <v>0.26</v>
      </c>
      <c r="B3248" s="2">
        <v>231.2</v>
      </c>
      <c r="C3248" s="2">
        <v>2.8</v>
      </c>
      <c r="D3248" s="2">
        <v>2.83</v>
      </c>
      <c r="E3248" s="2">
        <v>0.05</v>
      </c>
      <c r="F3248" s="2">
        <v>49.9</v>
      </c>
      <c r="G3248" s="4">
        <v>44461.30923555556</v>
      </c>
      <c r="H3248" s="8">
        <v>44461.0</v>
      </c>
    </row>
    <row r="3249">
      <c r="A3249" s="2">
        <v>0.27</v>
      </c>
      <c r="B3249" s="2">
        <v>231.5</v>
      </c>
      <c r="C3249" s="2">
        <v>4.7</v>
      </c>
      <c r="D3249" s="2">
        <v>2.83</v>
      </c>
      <c r="E3249" s="2">
        <v>0.08</v>
      </c>
      <c r="F3249" s="2">
        <v>49.9</v>
      </c>
      <c r="G3249" s="4">
        <v>44461.309341053246</v>
      </c>
      <c r="H3249" s="8">
        <v>44461.0</v>
      </c>
    </row>
    <row r="3250">
      <c r="A3250" s="2">
        <v>0.28</v>
      </c>
      <c r="B3250" s="2">
        <v>231.6</v>
      </c>
      <c r="C3250" s="2">
        <v>8.4</v>
      </c>
      <c r="D3250" s="2">
        <v>2.83</v>
      </c>
      <c r="E3250" s="2">
        <v>0.13</v>
      </c>
      <c r="F3250" s="2">
        <v>50.0</v>
      </c>
      <c r="G3250" s="4">
        <v>44461.309449849534</v>
      </c>
      <c r="H3250" s="8">
        <v>44461.0</v>
      </c>
    </row>
    <row r="3251">
      <c r="A3251" s="2">
        <v>0.26</v>
      </c>
      <c r="B3251" s="2">
        <v>231.3</v>
      </c>
      <c r="C3251" s="2">
        <v>5.5</v>
      </c>
      <c r="D3251" s="2">
        <v>2.83</v>
      </c>
      <c r="E3251" s="2">
        <v>0.09</v>
      </c>
      <c r="F3251" s="2">
        <v>49.9</v>
      </c>
      <c r="G3251" s="4">
        <v>44461.30955681713</v>
      </c>
      <c r="H3251" s="8">
        <v>44461.0</v>
      </c>
    </row>
    <row r="3252">
      <c r="A3252" s="2">
        <v>0.26</v>
      </c>
      <c r="B3252" s="2">
        <v>231.9</v>
      </c>
      <c r="C3252" s="2">
        <v>3.8</v>
      </c>
      <c r="D3252" s="2">
        <v>2.83</v>
      </c>
      <c r="E3252" s="2">
        <v>0.06</v>
      </c>
      <c r="F3252" s="2">
        <v>50.0</v>
      </c>
      <c r="G3252" s="4">
        <v>44461.30966540509</v>
      </c>
      <c r="H3252" s="8">
        <v>44461.0</v>
      </c>
    </row>
    <row r="3253">
      <c r="A3253" s="2">
        <v>0.26</v>
      </c>
      <c r="B3253" s="2">
        <v>231.8</v>
      </c>
      <c r="C3253" s="2">
        <v>2.7</v>
      </c>
      <c r="D3253" s="2">
        <v>2.83</v>
      </c>
      <c r="E3253" s="2">
        <v>0.05</v>
      </c>
      <c r="F3253" s="2">
        <v>49.9</v>
      </c>
      <c r="G3253" s="4">
        <v>44461.30980564815</v>
      </c>
      <c r="H3253" s="8">
        <v>44461.0</v>
      </c>
    </row>
    <row r="3254">
      <c r="A3254" s="2">
        <v>0.26</v>
      </c>
      <c r="B3254" s="2">
        <v>231.7</v>
      </c>
      <c r="C3254" s="2">
        <v>4.0</v>
      </c>
      <c r="D3254" s="2">
        <v>2.83</v>
      </c>
      <c r="E3254" s="2">
        <v>0.07</v>
      </c>
      <c r="F3254" s="2">
        <v>49.9</v>
      </c>
      <c r="G3254" s="4">
        <v>44461.30991329861</v>
      </c>
      <c r="H3254" s="8">
        <v>44461.0</v>
      </c>
    </row>
    <row r="3255">
      <c r="A3255" s="2">
        <v>0.27</v>
      </c>
      <c r="B3255" s="2">
        <v>231.8</v>
      </c>
      <c r="C3255" s="2">
        <v>4.9</v>
      </c>
      <c r="D3255" s="2">
        <v>2.83</v>
      </c>
      <c r="E3255" s="2">
        <v>0.08</v>
      </c>
      <c r="F3255" s="2">
        <v>49.9</v>
      </c>
      <c r="G3255" s="4">
        <v>44461.310020219906</v>
      </c>
      <c r="H3255" s="8">
        <v>44461.0</v>
      </c>
    </row>
    <row r="3256">
      <c r="A3256" s="2">
        <v>0.27</v>
      </c>
      <c r="B3256" s="2">
        <v>231.5</v>
      </c>
      <c r="C3256" s="2">
        <v>5.4</v>
      </c>
      <c r="D3256" s="2">
        <v>2.83</v>
      </c>
      <c r="E3256" s="2">
        <v>0.09</v>
      </c>
      <c r="F3256" s="2">
        <v>49.9</v>
      </c>
      <c r="G3256" s="4">
        <v>44461.31012393518</v>
      </c>
      <c r="H3256" s="8">
        <v>44461.0</v>
      </c>
    </row>
    <row r="3257">
      <c r="A3257" s="2">
        <v>0.28</v>
      </c>
      <c r="B3257" s="2">
        <v>231.6</v>
      </c>
      <c r="C3257" s="2">
        <v>7.8</v>
      </c>
      <c r="D3257" s="2">
        <v>2.83</v>
      </c>
      <c r="E3257" s="2">
        <v>0.12</v>
      </c>
      <c r="F3257" s="2">
        <v>50.0</v>
      </c>
      <c r="G3257" s="4">
        <v>44461.310227800925</v>
      </c>
      <c r="H3257" s="8">
        <v>44461.0</v>
      </c>
    </row>
    <row r="3258">
      <c r="A3258" s="2">
        <v>0.26</v>
      </c>
      <c r="B3258" s="2">
        <v>231.7</v>
      </c>
      <c r="C3258" s="2">
        <v>5.4</v>
      </c>
      <c r="D3258" s="2">
        <v>2.83</v>
      </c>
      <c r="E3258" s="2">
        <v>0.09</v>
      </c>
      <c r="F3258" s="2">
        <v>49.9</v>
      </c>
      <c r="G3258" s="4">
        <v>44461.3103347338</v>
      </c>
      <c r="H3258" s="8">
        <v>44461.0</v>
      </c>
    </row>
    <row r="3259">
      <c r="A3259" s="2">
        <v>0.26</v>
      </c>
      <c r="B3259" s="2">
        <v>231.5</v>
      </c>
      <c r="C3259" s="2">
        <v>3.5</v>
      </c>
      <c r="D3259" s="2">
        <v>2.83</v>
      </c>
      <c r="E3259" s="2">
        <v>0.06</v>
      </c>
      <c r="F3259" s="2">
        <v>49.9</v>
      </c>
      <c r="G3259" s="4">
        <v>44461.31044528935</v>
      </c>
      <c r="H3259" s="8">
        <v>44461.0</v>
      </c>
    </row>
    <row r="3260">
      <c r="A3260" s="2">
        <v>0.26</v>
      </c>
      <c r="B3260" s="2">
        <v>231.9</v>
      </c>
      <c r="C3260" s="2">
        <v>3.9</v>
      </c>
      <c r="D3260" s="2">
        <v>2.83</v>
      </c>
      <c r="E3260" s="2">
        <v>0.06</v>
      </c>
      <c r="F3260" s="2">
        <v>50.0</v>
      </c>
      <c r="G3260" s="4">
        <v>44461.31055364583</v>
      </c>
      <c r="H3260" s="8">
        <v>44461.0</v>
      </c>
    </row>
    <row r="3261">
      <c r="A3261" s="2">
        <v>0.28</v>
      </c>
      <c r="B3261" s="2">
        <v>231.7</v>
      </c>
      <c r="C3261" s="2">
        <v>9.1</v>
      </c>
      <c r="D3261" s="2">
        <v>2.83</v>
      </c>
      <c r="E3261" s="2">
        <v>0.14</v>
      </c>
      <c r="F3261" s="2">
        <v>50.0</v>
      </c>
      <c r="G3261" s="4">
        <v>44461.31066329862</v>
      </c>
      <c r="H3261" s="8">
        <v>44461.0</v>
      </c>
    </row>
    <row r="3262">
      <c r="A3262" s="2">
        <v>0.28</v>
      </c>
      <c r="B3262" s="2">
        <v>231.4</v>
      </c>
      <c r="C3262" s="2">
        <v>8.9</v>
      </c>
      <c r="D3262" s="2">
        <v>2.83</v>
      </c>
      <c r="E3262" s="2">
        <v>0.14</v>
      </c>
      <c r="F3262" s="2">
        <v>49.9</v>
      </c>
      <c r="G3262" s="4">
        <v>44461.31077113426</v>
      </c>
      <c r="H3262" s="8">
        <v>44461.0</v>
      </c>
    </row>
    <row r="3263">
      <c r="A3263" s="2">
        <v>0.27</v>
      </c>
      <c r="B3263" s="2">
        <v>231.5</v>
      </c>
      <c r="C3263" s="2">
        <v>7.5</v>
      </c>
      <c r="D3263" s="2">
        <v>2.83</v>
      </c>
      <c r="E3263" s="2">
        <v>0.12</v>
      </c>
      <c r="F3263" s="2">
        <v>50.0</v>
      </c>
      <c r="G3263" s="4">
        <v>44461.31087565972</v>
      </c>
      <c r="H3263" s="8">
        <v>44461.0</v>
      </c>
    </row>
    <row r="3264">
      <c r="A3264" s="2">
        <v>0.26</v>
      </c>
      <c r="B3264" s="2">
        <v>231.3</v>
      </c>
      <c r="C3264" s="2">
        <v>3.8</v>
      </c>
      <c r="D3264" s="2">
        <v>2.83</v>
      </c>
      <c r="E3264" s="2">
        <v>0.06</v>
      </c>
      <c r="F3264" s="2">
        <v>50.0</v>
      </c>
      <c r="G3264" s="4">
        <v>44461.31098523148</v>
      </c>
      <c r="H3264" s="8">
        <v>44461.0</v>
      </c>
    </row>
    <row r="3265">
      <c r="A3265" s="2">
        <v>0.27</v>
      </c>
      <c r="B3265" s="2">
        <v>231.8</v>
      </c>
      <c r="C3265" s="2">
        <v>4.9</v>
      </c>
      <c r="D3265" s="2">
        <v>2.83</v>
      </c>
      <c r="E3265" s="2">
        <v>0.08</v>
      </c>
      <c r="F3265" s="2">
        <v>50.0</v>
      </c>
      <c r="G3265" s="4">
        <v>44461.31109358797</v>
      </c>
      <c r="H3265" s="8">
        <v>44461.0</v>
      </c>
    </row>
    <row r="3266">
      <c r="A3266" s="2">
        <v>0.27</v>
      </c>
      <c r="B3266" s="2">
        <v>232.4</v>
      </c>
      <c r="C3266" s="2">
        <v>4.9</v>
      </c>
      <c r="D3266" s="2">
        <v>2.83</v>
      </c>
      <c r="E3266" s="2">
        <v>0.08</v>
      </c>
      <c r="F3266" s="2">
        <v>49.9</v>
      </c>
      <c r="G3266" s="4">
        <v>44461.31119995371</v>
      </c>
      <c r="H3266" s="8">
        <v>44461.0</v>
      </c>
    </row>
    <row r="3267">
      <c r="A3267" s="2">
        <v>0.26</v>
      </c>
      <c r="B3267" s="2">
        <v>232.1</v>
      </c>
      <c r="C3267" s="2">
        <v>3.9</v>
      </c>
      <c r="D3267" s="2">
        <v>2.83</v>
      </c>
      <c r="E3267" s="2">
        <v>0.06</v>
      </c>
      <c r="F3267" s="2">
        <v>49.9</v>
      </c>
      <c r="G3267" s="4">
        <v>44461.311335798615</v>
      </c>
      <c r="H3267" s="8">
        <v>44461.0</v>
      </c>
    </row>
    <row r="3268">
      <c r="A3268" s="2">
        <v>0.26</v>
      </c>
      <c r="B3268" s="2">
        <v>232.2</v>
      </c>
      <c r="C3268" s="2">
        <v>3.7</v>
      </c>
      <c r="D3268" s="2">
        <v>2.83</v>
      </c>
      <c r="E3268" s="2">
        <v>0.06</v>
      </c>
      <c r="F3268" s="2">
        <v>49.9</v>
      </c>
      <c r="G3268" s="4">
        <v>44461.311440115736</v>
      </c>
      <c r="H3268" s="8">
        <v>44461.0</v>
      </c>
    </row>
    <row r="3269">
      <c r="A3269" s="2">
        <v>0.27</v>
      </c>
      <c r="B3269" s="2">
        <v>232.1</v>
      </c>
      <c r="C3269" s="2">
        <v>5.9</v>
      </c>
      <c r="D3269" s="2">
        <v>2.83</v>
      </c>
      <c r="E3269" s="2">
        <v>0.09</v>
      </c>
      <c r="F3269" s="2">
        <v>49.9</v>
      </c>
      <c r="G3269" s="4">
        <v>44461.31154693287</v>
      </c>
      <c r="H3269" s="8">
        <v>44461.0</v>
      </c>
    </row>
    <row r="3270">
      <c r="A3270" s="2">
        <v>0.27</v>
      </c>
      <c r="B3270" s="2">
        <v>232.2</v>
      </c>
      <c r="C3270" s="2">
        <v>7.1</v>
      </c>
      <c r="D3270" s="2">
        <v>2.83</v>
      </c>
      <c r="E3270" s="2">
        <v>0.11</v>
      </c>
      <c r="F3270" s="2">
        <v>50.0</v>
      </c>
      <c r="G3270" s="4">
        <v>44461.31165525463</v>
      </c>
      <c r="H3270" s="8">
        <v>44461.0</v>
      </c>
    </row>
    <row r="3271">
      <c r="A3271" s="2">
        <v>0.27</v>
      </c>
      <c r="B3271" s="2">
        <v>232.5</v>
      </c>
      <c r="C3271" s="2">
        <v>6.3</v>
      </c>
      <c r="D3271" s="2">
        <v>2.83</v>
      </c>
      <c r="E3271" s="2">
        <v>0.1</v>
      </c>
      <c r="F3271" s="2">
        <v>50.0</v>
      </c>
      <c r="G3271" s="4">
        <v>44461.3117619213</v>
      </c>
      <c r="H3271" s="8">
        <v>44461.0</v>
      </c>
    </row>
    <row r="3272">
      <c r="A3272" s="2">
        <v>0.26</v>
      </c>
      <c r="B3272" s="2">
        <v>232.3</v>
      </c>
      <c r="C3272" s="2">
        <v>3.1</v>
      </c>
      <c r="D3272" s="2">
        <v>2.83</v>
      </c>
      <c r="E3272" s="2">
        <v>0.05</v>
      </c>
      <c r="F3272" s="2">
        <v>50.0</v>
      </c>
      <c r="G3272" s="4">
        <v>44461.31186802083</v>
      </c>
      <c r="H3272" s="8">
        <v>44461.0</v>
      </c>
    </row>
    <row r="3273">
      <c r="A3273" s="2">
        <v>0.26</v>
      </c>
      <c r="B3273" s="2">
        <v>232.5</v>
      </c>
      <c r="C3273" s="2">
        <v>3.4</v>
      </c>
      <c r="D3273" s="2">
        <v>2.83</v>
      </c>
      <c r="E3273" s="2">
        <v>0.06</v>
      </c>
      <c r="F3273" s="2">
        <v>49.9</v>
      </c>
      <c r="G3273" s="4">
        <v>44461.31197244213</v>
      </c>
      <c r="H3273" s="8">
        <v>44461.0</v>
      </c>
    </row>
    <row r="3274">
      <c r="A3274" s="2">
        <v>0.26</v>
      </c>
      <c r="B3274" s="2">
        <v>232.4</v>
      </c>
      <c r="C3274" s="2">
        <v>4.2</v>
      </c>
      <c r="D3274" s="2">
        <v>2.83</v>
      </c>
      <c r="E3274" s="2">
        <v>0.07</v>
      </c>
      <c r="F3274" s="2">
        <v>50.0</v>
      </c>
      <c r="G3274" s="4">
        <v>44461.312079826384</v>
      </c>
      <c r="H3274" s="8">
        <v>44461.0</v>
      </c>
    </row>
    <row r="3275">
      <c r="A3275" s="2">
        <v>0.28</v>
      </c>
      <c r="B3275" s="2">
        <v>232.3</v>
      </c>
      <c r="C3275" s="2">
        <v>8.3</v>
      </c>
      <c r="D3275" s="2">
        <v>2.83</v>
      </c>
      <c r="E3275" s="2">
        <v>0.13</v>
      </c>
      <c r="F3275" s="2">
        <v>49.9</v>
      </c>
      <c r="G3275" s="4">
        <v>44461.31218813657</v>
      </c>
      <c r="H3275" s="8">
        <v>44461.0</v>
      </c>
    </row>
    <row r="3276">
      <c r="A3276" s="2">
        <v>0.29</v>
      </c>
      <c r="B3276" s="2">
        <v>232.0</v>
      </c>
      <c r="C3276" s="2">
        <v>10.3</v>
      </c>
      <c r="D3276" s="2">
        <v>2.83</v>
      </c>
      <c r="E3276" s="2">
        <v>0.15</v>
      </c>
      <c r="F3276" s="2">
        <v>49.9</v>
      </c>
      <c r="G3276" s="4">
        <v>44461.312294664356</v>
      </c>
      <c r="H3276" s="8">
        <v>44461.0</v>
      </c>
    </row>
    <row r="3277">
      <c r="A3277" s="2">
        <v>0.28</v>
      </c>
      <c r="B3277" s="2">
        <v>231.7</v>
      </c>
      <c r="C3277" s="2">
        <v>7.6</v>
      </c>
      <c r="D3277" s="2">
        <v>2.83</v>
      </c>
      <c r="E3277" s="2">
        <v>0.12</v>
      </c>
      <c r="F3277" s="2">
        <v>49.9</v>
      </c>
      <c r="G3277" s="4">
        <v>44461.31239813658</v>
      </c>
      <c r="H3277" s="8">
        <v>44461.0</v>
      </c>
    </row>
    <row r="3278">
      <c r="A3278" s="2">
        <v>0.28</v>
      </c>
      <c r="B3278" s="2">
        <v>231.8</v>
      </c>
      <c r="C3278" s="2">
        <v>7.8</v>
      </c>
      <c r="D3278" s="2">
        <v>2.83</v>
      </c>
      <c r="E3278" s="2">
        <v>0.12</v>
      </c>
      <c r="F3278" s="2">
        <v>49.9</v>
      </c>
      <c r="G3278" s="4">
        <v>44461.31250371528</v>
      </c>
      <c r="H3278" s="8">
        <v>44461.0</v>
      </c>
    </row>
    <row r="3279">
      <c r="A3279" s="2">
        <v>0.26</v>
      </c>
      <c r="B3279" s="2">
        <v>231.7</v>
      </c>
      <c r="C3279" s="2">
        <v>3.6</v>
      </c>
      <c r="D3279" s="2">
        <v>2.83</v>
      </c>
      <c r="E3279" s="2">
        <v>0.06</v>
      </c>
      <c r="F3279" s="2">
        <v>49.9</v>
      </c>
      <c r="G3279" s="4">
        <v>44461.31261258102</v>
      </c>
      <c r="H3279" s="8">
        <v>44461.0</v>
      </c>
    </row>
    <row r="3280">
      <c r="A3280" s="2">
        <v>0.28</v>
      </c>
      <c r="B3280" s="2">
        <v>231.7</v>
      </c>
      <c r="C3280" s="2">
        <v>8.9</v>
      </c>
      <c r="D3280" s="2">
        <v>2.83</v>
      </c>
      <c r="E3280" s="2">
        <v>0.14</v>
      </c>
      <c r="F3280" s="2">
        <v>49.9</v>
      </c>
      <c r="G3280" s="4">
        <v>44461.31274868056</v>
      </c>
      <c r="H3280" s="8">
        <v>44461.0</v>
      </c>
    </row>
    <row r="3281">
      <c r="A3281" s="2">
        <v>0.26</v>
      </c>
      <c r="B3281" s="2">
        <v>231.9</v>
      </c>
      <c r="C3281" s="2">
        <v>3.7</v>
      </c>
      <c r="D3281" s="2">
        <v>2.83</v>
      </c>
      <c r="E3281" s="2">
        <v>0.06</v>
      </c>
      <c r="F3281" s="2">
        <v>49.9</v>
      </c>
      <c r="G3281" s="4">
        <v>44461.312854386575</v>
      </c>
      <c r="H3281" s="8">
        <v>44461.0</v>
      </c>
    </row>
    <row r="3282">
      <c r="A3282" s="2">
        <v>0.26</v>
      </c>
      <c r="B3282" s="2">
        <v>231.9</v>
      </c>
      <c r="C3282" s="2">
        <v>4.2</v>
      </c>
      <c r="D3282" s="2">
        <v>2.83</v>
      </c>
      <c r="E3282" s="2">
        <v>0.07</v>
      </c>
      <c r="F3282" s="2">
        <v>49.9</v>
      </c>
      <c r="G3282" s="4">
        <v>44461.31296074074</v>
      </c>
      <c r="H3282" s="8">
        <v>44461.0</v>
      </c>
    </row>
    <row r="3283">
      <c r="A3283" s="2">
        <v>0.26</v>
      </c>
      <c r="B3283" s="2">
        <v>232.1</v>
      </c>
      <c r="C3283" s="2">
        <v>4.0</v>
      </c>
      <c r="D3283" s="2">
        <v>2.83</v>
      </c>
      <c r="E3283" s="2">
        <v>0.07</v>
      </c>
      <c r="F3283" s="2">
        <v>49.9</v>
      </c>
      <c r="G3283" s="4">
        <v>44461.31306969907</v>
      </c>
      <c r="H3283" s="8">
        <v>44461.0</v>
      </c>
    </row>
    <row r="3284">
      <c r="A3284" s="2">
        <v>0.27</v>
      </c>
      <c r="B3284" s="2">
        <v>231.8</v>
      </c>
      <c r="C3284" s="2">
        <v>4.4</v>
      </c>
      <c r="D3284" s="2">
        <v>2.83</v>
      </c>
      <c r="E3284" s="2">
        <v>0.07</v>
      </c>
      <c r="F3284" s="2">
        <v>49.9</v>
      </c>
      <c r="G3284" s="4">
        <v>44461.31317782408</v>
      </c>
      <c r="H3284" s="8">
        <v>44461.0</v>
      </c>
    </row>
    <row r="3285">
      <c r="A3285" s="2">
        <v>0.27</v>
      </c>
      <c r="B3285" s="2">
        <v>231.8</v>
      </c>
      <c r="C3285" s="2">
        <v>4.8</v>
      </c>
      <c r="D3285" s="2">
        <v>2.83</v>
      </c>
      <c r="E3285" s="2">
        <v>0.08</v>
      </c>
      <c r="F3285" s="2">
        <v>50.0</v>
      </c>
      <c r="G3285" s="4">
        <v>44461.31328291667</v>
      </c>
      <c r="H3285" s="8">
        <v>44461.0</v>
      </c>
    </row>
    <row r="3286">
      <c r="A3286" s="2">
        <v>0.28</v>
      </c>
      <c r="B3286" s="2">
        <v>232.0</v>
      </c>
      <c r="C3286" s="2">
        <v>8.7</v>
      </c>
      <c r="D3286" s="2">
        <v>2.83</v>
      </c>
      <c r="E3286" s="2">
        <v>0.13</v>
      </c>
      <c r="F3286" s="2">
        <v>49.9</v>
      </c>
      <c r="G3286" s="4">
        <v>44461.31339127314</v>
      </c>
      <c r="H3286" s="8">
        <v>44461.0</v>
      </c>
    </row>
    <row r="3287">
      <c r="A3287" s="2">
        <v>0.27</v>
      </c>
      <c r="B3287" s="2">
        <v>231.8</v>
      </c>
      <c r="C3287" s="2">
        <v>7.0</v>
      </c>
      <c r="D3287" s="2">
        <v>2.83</v>
      </c>
      <c r="E3287" s="2">
        <v>0.11</v>
      </c>
      <c r="F3287" s="2">
        <v>50.0</v>
      </c>
      <c r="G3287" s="4">
        <v>44461.3135008449</v>
      </c>
      <c r="H3287" s="8">
        <v>44461.0</v>
      </c>
    </row>
    <row r="3288">
      <c r="A3288" s="2">
        <v>0.26</v>
      </c>
      <c r="B3288" s="2">
        <v>232.0</v>
      </c>
      <c r="C3288" s="2">
        <v>3.8</v>
      </c>
      <c r="D3288" s="2">
        <v>2.83</v>
      </c>
      <c r="E3288" s="2">
        <v>0.06</v>
      </c>
      <c r="F3288" s="2">
        <v>50.0</v>
      </c>
      <c r="G3288" s="4">
        <v>44461.31361388889</v>
      </c>
      <c r="H3288" s="8">
        <v>44461.0</v>
      </c>
    </row>
    <row r="3289">
      <c r="A3289" s="2">
        <v>0.27</v>
      </c>
      <c r="B3289" s="2">
        <v>231.4</v>
      </c>
      <c r="C3289" s="2">
        <v>5.4</v>
      </c>
      <c r="D3289" s="2">
        <v>2.83</v>
      </c>
      <c r="E3289" s="2">
        <v>0.09</v>
      </c>
      <c r="F3289" s="2">
        <v>50.0</v>
      </c>
      <c r="G3289" s="4">
        <v>44461.31372144676</v>
      </c>
      <c r="H3289" s="8">
        <v>44461.0</v>
      </c>
    </row>
    <row r="3290">
      <c r="A3290" s="2">
        <v>0.28</v>
      </c>
      <c r="B3290" s="2">
        <v>231.3</v>
      </c>
      <c r="C3290" s="2">
        <v>9.3</v>
      </c>
      <c r="D3290" s="2">
        <v>2.83</v>
      </c>
      <c r="E3290" s="2">
        <v>0.14</v>
      </c>
      <c r="F3290" s="2">
        <v>50.0</v>
      </c>
      <c r="G3290" s="4">
        <v>44461.31383005787</v>
      </c>
      <c r="H3290" s="8">
        <v>44461.0</v>
      </c>
    </row>
    <row r="3291">
      <c r="A3291" s="2">
        <v>0.26</v>
      </c>
      <c r="B3291" s="2">
        <v>231.5</v>
      </c>
      <c r="C3291" s="2">
        <v>4.5</v>
      </c>
      <c r="D3291" s="2">
        <v>2.83</v>
      </c>
      <c r="E3291" s="2">
        <v>0.07</v>
      </c>
      <c r="F3291" s="2">
        <v>50.0</v>
      </c>
      <c r="G3291" s="4">
        <v>44461.3139374537</v>
      </c>
      <c r="H3291" s="8">
        <v>44461.0</v>
      </c>
    </row>
    <row r="3292">
      <c r="A3292" s="2">
        <v>0.26</v>
      </c>
      <c r="B3292" s="2">
        <v>231.5</v>
      </c>
      <c r="C3292" s="2">
        <v>3.9</v>
      </c>
      <c r="D3292" s="2">
        <v>2.83</v>
      </c>
      <c r="E3292" s="2">
        <v>0.06</v>
      </c>
      <c r="F3292" s="2">
        <v>50.0</v>
      </c>
      <c r="G3292" s="4">
        <v>44461.31404349537</v>
      </c>
      <c r="H3292" s="8">
        <v>44461.0</v>
      </c>
    </row>
    <row r="3293">
      <c r="A3293" s="2">
        <v>0.26</v>
      </c>
      <c r="B3293" s="2">
        <v>231.4</v>
      </c>
      <c r="C3293" s="2">
        <v>3.7</v>
      </c>
      <c r="D3293" s="2">
        <v>2.83</v>
      </c>
      <c r="E3293" s="2">
        <v>0.06</v>
      </c>
      <c r="F3293" s="2">
        <v>50.0</v>
      </c>
      <c r="G3293" s="4">
        <v>44461.31414959491</v>
      </c>
      <c r="H3293" s="8">
        <v>44461.0</v>
      </c>
    </row>
    <row r="3294">
      <c r="A3294" s="2">
        <v>0.26</v>
      </c>
      <c r="B3294" s="2">
        <v>231.4</v>
      </c>
      <c r="C3294" s="2">
        <v>3.7</v>
      </c>
      <c r="D3294" s="2">
        <v>2.83</v>
      </c>
      <c r="E3294" s="2">
        <v>0.06</v>
      </c>
      <c r="F3294" s="2">
        <v>50.0</v>
      </c>
      <c r="G3294" s="4">
        <v>44461.31424929398</v>
      </c>
      <c r="H3294" s="8">
        <v>44461.0</v>
      </c>
    </row>
    <row r="3295">
      <c r="A3295" s="2">
        <v>0.26</v>
      </c>
      <c r="B3295" s="2">
        <v>231.3</v>
      </c>
      <c r="C3295" s="2">
        <v>4.3</v>
      </c>
      <c r="D3295" s="2">
        <v>2.83</v>
      </c>
      <c r="E3295" s="2">
        <v>0.07</v>
      </c>
      <c r="F3295" s="2">
        <v>50.0</v>
      </c>
      <c r="G3295" s="4">
        <v>44461.31435349537</v>
      </c>
      <c r="H3295" s="8">
        <v>44461.0</v>
      </c>
    </row>
    <row r="3296">
      <c r="A3296" s="2">
        <v>0.27</v>
      </c>
      <c r="B3296" s="2">
        <v>232.1</v>
      </c>
      <c r="C3296" s="2">
        <v>4.6</v>
      </c>
      <c r="D3296" s="2">
        <v>2.83</v>
      </c>
      <c r="E3296" s="2">
        <v>0.07</v>
      </c>
      <c r="F3296" s="2">
        <v>50.0</v>
      </c>
      <c r="G3296" s="4">
        <v>44461.31445796296</v>
      </c>
      <c r="H3296" s="8">
        <v>44461.0</v>
      </c>
    </row>
    <row r="3297">
      <c r="A3297" s="2">
        <v>0.27</v>
      </c>
      <c r="B3297" s="2">
        <v>231.7</v>
      </c>
      <c r="C3297" s="2">
        <v>5.4</v>
      </c>
      <c r="D3297" s="2">
        <v>2.83</v>
      </c>
      <c r="E3297" s="2">
        <v>0.09</v>
      </c>
      <c r="F3297" s="2">
        <v>49.9</v>
      </c>
      <c r="G3297" s="4">
        <v>44461.31455759259</v>
      </c>
      <c r="H3297" s="8">
        <v>44461.0</v>
      </c>
    </row>
    <row r="3298">
      <c r="A3298" s="2">
        <v>0.29</v>
      </c>
      <c r="B3298" s="2">
        <v>231.8</v>
      </c>
      <c r="C3298" s="2">
        <v>8.6</v>
      </c>
      <c r="D3298" s="2">
        <v>2.83</v>
      </c>
      <c r="E3298" s="2">
        <v>0.13</v>
      </c>
      <c r="F3298" s="2">
        <v>49.9</v>
      </c>
      <c r="G3298" s="4">
        <v>44461.31465976852</v>
      </c>
      <c r="H3298" s="8">
        <v>44461.0</v>
      </c>
    </row>
    <row r="3299">
      <c r="A3299" s="2">
        <v>0.28</v>
      </c>
      <c r="B3299" s="2">
        <v>231.6</v>
      </c>
      <c r="C3299" s="2">
        <v>7.4</v>
      </c>
      <c r="D3299" s="2">
        <v>2.83</v>
      </c>
      <c r="E3299" s="2">
        <v>0.11</v>
      </c>
      <c r="F3299" s="2">
        <v>49.9</v>
      </c>
      <c r="G3299" s="4">
        <v>44461.31476329861</v>
      </c>
      <c r="H3299" s="8">
        <v>44461.0</v>
      </c>
    </row>
    <row r="3300">
      <c r="A3300" s="2">
        <v>0.28</v>
      </c>
      <c r="B3300" s="2">
        <v>231.7</v>
      </c>
      <c r="C3300" s="2">
        <v>8.0</v>
      </c>
      <c r="D3300" s="2">
        <v>2.83</v>
      </c>
      <c r="E3300" s="2">
        <v>0.13</v>
      </c>
      <c r="F3300" s="2">
        <v>49.9</v>
      </c>
      <c r="G3300" s="4">
        <v>44461.31487011574</v>
      </c>
      <c r="H3300" s="8">
        <v>44461.0</v>
      </c>
    </row>
    <row r="3301">
      <c r="A3301" s="2">
        <v>0.26</v>
      </c>
      <c r="B3301" s="2">
        <v>231.6</v>
      </c>
      <c r="C3301" s="2">
        <v>5.7</v>
      </c>
      <c r="D3301" s="2">
        <v>2.83</v>
      </c>
      <c r="E3301" s="2">
        <v>0.09</v>
      </c>
      <c r="F3301" s="2">
        <v>49.9</v>
      </c>
      <c r="G3301" s="4">
        <v>44461.314978993054</v>
      </c>
      <c r="H3301" s="8">
        <v>44461.0</v>
      </c>
    </row>
    <row r="3302">
      <c r="A3302" s="2">
        <v>0.26</v>
      </c>
      <c r="B3302" s="2">
        <v>231.6</v>
      </c>
      <c r="C3302" s="2">
        <v>5.2</v>
      </c>
      <c r="D3302" s="2">
        <v>2.83</v>
      </c>
      <c r="E3302" s="2">
        <v>0.09</v>
      </c>
      <c r="F3302" s="2">
        <v>49.9</v>
      </c>
      <c r="G3302" s="4">
        <v>44461.315082615736</v>
      </c>
      <c r="H3302" s="8">
        <v>44461.0</v>
      </c>
    </row>
    <row r="3303">
      <c r="A3303" s="2">
        <v>0.26</v>
      </c>
      <c r="B3303" s="2">
        <v>231.7</v>
      </c>
      <c r="C3303" s="2">
        <v>3.3</v>
      </c>
      <c r="D3303" s="2">
        <v>2.83</v>
      </c>
      <c r="E3303" s="2">
        <v>0.05</v>
      </c>
      <c r="F3303" s="2">
        <v>49.9</v>
      </c>
      <c r="G3303" s="4">
        <v>44461.31518959491</v>
      </c>
      <c r="H3303" s="8">
        <v>44461.0</v>
      </c>
    </row>
    <row r="3304">
      <c r="A3304" s="2">
        <v>0.26</v>
      </c>
      <c r="B3304" s="2">
        <v>231.6</v>
      </c>
      <c r="C3304" s="2">
        <v>3.6</v>
      </c>
      <c r="D3304" s="2">
        <v>2.83</v>
      </c>
      <c r="E3304" s="2">
        <v>0.06</v>
      </c>
      <c r="F3304" s="2">
        <v>49.9</v>
      </c>
      <c r="G3304" s="4">
        <v>44461.31529366898</v>
      </c>
      <c r="H3304" s="8">
        <v>44461.0</v>
      </c>
    </row>
    <row r="3305">
      <c r="A3305" s="2">
        <v>0.27</v>
      </c>
      <c r="B3305" s="2">
        <v>231.4</v>
      </c>
      <c r="C3305" s="2">
        <v>4.5</v>
      </c>
      <c r="D3305" s="2">
        <v>2.83</v>
      </c>
      <c r="E3305" s="2">
        <v>0.07</v>
      </c>
      <c r="F3305" s="2">
        <v>49.9</v>
      </c>
      <c r="G3305" s="4">
        <v>44461.31539675926</v>
      </c>
      <c r="H3305" s="8">
        <v>44461.0</v>
      </c>
    </row>
    <row r="3306">
      <c r="A3306" s="2">
        <v>0.28</v>
      </c>
      <c r="B3306" s="2">
        <v>231.8</v>
      </c>
      <c r="C3306" s="2">
        <v>6.4</v>
      </c>
      <c r="D3306" s="2">
        <v>2.83</v>
      </c>
      <c r="E3306" s="2">
        <v>0.1</v>
      </c>
      <c r="F3306" s="2">
        <v>49.9</v>
      </c>
      <c r="G3306" s="4">
        <v>44461.315504756945</v>
      </c>
      <c r="H3306" s="8">
        <v>44461.0</v>
      </c>
    </row>
    <row r="3307">
      <c r="A3307" s="2">
        <v>0.26</v>
      </c>
      <c r="B3307" s="2">
        <v>232.0</v>
      </c>
      <c r="C3307" s="2">
        <v>4.3</v>
      </c>
      <c r="D3307" s="2">
        <v>2.83</v>
      </c>
      <c r="E3307" s="2">
        <v>0.07</v>
      </c>
      <c r="F3307" s="2">
        <v>49.9</v>
      </c>
      <c r="G3307" s="4">
        <v>44461.315608379635</v>
      </c>
      <c r="H3307" s="8">
        <v>44461.0</v>
      </c>
    </row>
    <row r="3308">
      <c r="A3308" s="2">
        <v>0.26</v>
      </c>
      <c r="B3308" s="2">
        <v>232.1</v>
      </c>
      <c r="C3308" s="2">
        <v>3.4</v>
      </c>
      <c r="D3308" s="2">
        <v>2.83</v>
      </c>
      <c r="E3308" s="2">
        <v>0.06</v>
      </c>
      <c r="F3308" s="2">
        <v>49.9</v>
      </c>
      <c r="G3308" s="4">
        <v>44461.31571060185</v>
      </c>
      <c r="H3308" s="8">
        <v>44461.0</v>
      </c>
    </row>
    <row r="3309">
      <c r="A3309" s="2">
        <v>0.26</v>
      </c>
      <c r="B3309" s="2">
        <v>231.9</v>
      </c>
      <c r="C3309" s="2">
        <v>3.5</v>
      </c>
      <c r="D3309" s="2">
        <v>2.83</v>
      </c>
      <c r="E3309" s="2">
        <v>0.06</v>
      </c>
      <c r="F3309" s="2">
        <v>50.0</v>
      </c>
      <c r="G3309" s="4">
        <v>44461.3158165625</v>
      </c>
      <c r="H3309" s="8">
        <v>44461.0</v>
      </c>
    </row>
    <row r="3310">
      <c r="A3310" s="2">
        <v>0.26</v>
      </c>
      <c r="B3310" s="2">
        <v>231.8</v>
      </c>
      <c r="C3310" s="2">
        <v>4.2</v>
      </c>
      <c r="D3310" s="2">
        <v>2.83</v>
      </c>
      <c r="E3310" s="2">
        <v>0.07</v>
      </c>
      <c r="F3310" s="2">
        <v>50.0</v>
      </c>
      <c r="G3310" s="4">
        <v>44461.31592216435</v>
      </c>
      <c r="H3310" s="8">
        <v>44461.0</v>
      </c>
    </row>
    <row r="3311">
      <c r="A3311" s="2">
        <v>0.26</v>
      </c>
      <c r="B3311" s="2">
        <v>231.8</v>
      </c>
      <c r="C3311" s="2">
        <v>3.6</v>
      </c>
      <c r="D3311" s="2">
        <v>2.83</v>
      </c>
      <c r="E3311" s="2">
        <v>0.06</v>
      </c>
      <c r="F3311" s="2">
        <v>50.0</v>
      </c>
      <c r="G3311" s="4">
        <v>44461.31602788194</v>
      </c>
      <c r="H3311" s="8">
        <v>44461.0</v>
      </c>
    </row>
    <row r="3312">
      <c r="A3312" s="2">
        <v>0.27</v>
      </c>
      <c r="B3312" s="2">
        <v>232.0</v>
      </c>
      <c r="C3312" s="2">
        <v>4.8</v>
      </c>
      <c r="D3312" s="2">
        <v>2.83</v>
      </c>
      <c r="E3312" s="2">
        <v>0.08</v>
      </c>
      <c r="F3312" s="2">
        <v>50.0</v>
      </c>
      <c r="G3312" s="4">
        <v>44461.31613707176</v>
      </c>
      <c r="H3312" s="8">
        <v>44461.0</v>
      </c>
    </row>
    <row r="3313">
      <c r="A3313" s="2">
        <v>0.27</v>
      </c>
      <c r="B3313" s="2">
        <v>232.1</v>
      </c>
      <c r="C3313" s="2">
        <v>6.1</v>
      </c>
      <c r="D3313" s="2">
        <v>2.83</v>
      </c>
      <c r="E3313" s="2">
        <v>0.1</v>
      </c>
      <c r="F3313" s="2">
        <v>50.0</v>
      </c>
      <c r="G3313" s="4">
        <v>44461.31624569444</v>
      </c>
      <c r="H3313" s="8">
        <v>44461.0</v>
      </c>
    </row>
    <row r="3314">
      <c r="A3314" s="2">
        <v>0.26</v>
      </c>
      <c r="B3314" s="2">
        <v>232.0</v>
      </c>
      <c r="C3314" s="2">
        <v>4.0</v>
      </c>
      <c r="D3314" s="2">
        <v>2.83</v>
      </c>
      <c r="E3314" s="2">
        <v>0.07</v>
      </c>
      <c r="F3314" s="2">
        <v>50.0</v>
      </c>
      <c r="G3314" s="4">
        <v>44461.316357013886</v>
      </c>
      <c r="H3314" s="8">
        <v>44461.0</v>
      </c>
    </row>
    <row r="3315">
      <c r="A3315" s="2">
        <v>0.26</v>
      </c>
      <c r="B3315" s="2">
        <v>232.1</v>
      </c>
      <c r="C3315" s="2">
        <v>2.8</v>
      </c>
      <c r="D3315" s="2">
        <v>2.83</v>
      </c>
      <c r="E3315" s="2">
        <v>0.05</v>
      </c>
      <c r="F3315" s="2">
        <v>50.0</v>
      </c>
      <c r="G3315" s="4">
        <v>44461.316457685185</v>
      </c>
      <c r="H3315" s="8">
        <v>44461.0</v>
      </c>
    </row>
    <row r="3316">
      <c r="A3316" s="2">
        <v>0.26</v>
      </c>
      <c r="B3316" s="2">
        <v>232.0</v>
      </c>
      <c r="C3316" s="2">
        <v>4.4</v>
      </c>
      <c r="D3316" s="2">
        <v>2.83</v>
      </c>
      <c r="E3316" s="2">
        <v>0.07</v>
      </c>
      <c r="F3316" s="2">
        <v>50.0</v>
      </c>
      <c r="G3316" s="4">
        <v>44461.31656394676</v>
      </c>
      <c r="H3316" s="8">
        <v>44461.0</v>
      </c>
    </row>
    <row r="3317">
      <c r="A3317" s="2">
        <v>0.26</v>
      </c>
      <c r="B3317" s="2">
        <v>232.0</v>
      </c>
      <c r="C3317" s="2">
        <v>3.7</v>
      </c>
      <c r="D3317" s="2">
        <v>2.83</v>
      </c>
      <c r="E3317" s="2">
        <v>0.06</v>
      </c>
      <c r="F3317" s="2">
        <v>50.0</v>
      </c>
      <c r="G3317" s="4">
        <v>44461.31667209491</v>
      </c>
      <c r="H3317" s="8">
        <v>44461.0</v>
      </c>
    </row>
    <row r="3318">
      <c r="A3318" s="2">
        <v>0.27</v>
      </c>
      <c r="B3318" s="2">
        <v>231.9</v>
      </c>
      <c r="C3318" s="2">
        <v>4.7</v>
      </c>
      <c r="D3318" s="2">
        <v>2.83</v>
      </c>
      <c r="E3318" s="2">
        <v>0.08</v>
      </c>
      <c r="F3318" s="2">
        <v>50.0</v>
      </c>
      <c r="G3318" s="4">
        <v>44461.31678085648</v>
      </c>
      <c r="H3318" s="8">
        <v>44461.0</v>
      </c>
    </row>
    <row r="3319">
      <c r="A3319" s="2">
        <v>0.27</v>
      </c>
      <c r="B3319" s="2">
        <v>231.8</v>
      </c>
      <c r="C3319" s="2">
        <v>6.3</v>
      </c>
      <c r="D3319" s="2">
        <v>2.83</v>
      </c>
      <c r="E3319" s="2">
        <v>0.1</v>
      </c>
      <c r="F3319" s="2">
        <v>50.0</v>
      </c>
      <c r="G3319" s="4">
        <v>44461.31689170139</v>
      </c>
      <c r="H3319" s="8">
        <v>44461.0</v>
      </c>
    </row>
    <row r="3320">
      <c r="A3320" s="2">
        <v>0.26</v>
      </c>
      <c r="B3320" s="2">
        <v>231.8</v>
      </c>
      <c r="C3320" s="2">
        <v>4.6</v>
      </c>
      <c r="D3320" s="2">
        <v>2.83</v>
      </c>
      <c r="E3320" s="2">
        <v>0.08</v>
      </c>
      <c r="F3320" s="2">
        <v>50.0</v>
      </c>
      <c r="G3320" s="4">
        <v>44461.31699699074</v>
      </c>
      <c r="H3320" s="8">
        <v>44461.0</v>
      </c>
    </row>
    <row r="3321">
      <c r="A3321" s="2">
        <v>0.27</v>
      </c>
      <c r="B3321" s="2">
        <v>231.5</v>
      </c>
      <c r="C3321" s="2">
        <v>5.1</v>
      </c>
      <c r="D3321" s="2">
        <v>2.83</v>
      </c>
      <c r="E3321" s="2">
        <v>0.08</v>
      </c>
      <c r="F3321" s="2">
        <v>49.9</v>
      </c>
      <c r="G3321" s="4">
        <v>44461.31710327546</v>
      </c>
      <c r="H3321" s="8">
        <v>44461.0</v>
      </c>
    </row>
    <row r="3322">
      <c r="A3322" s="2">
        <v>0.27</v>
      </c>
      <c r="B3322" s="2">
        <v>231.7</v>
      </c>
      <c r="C3322" s="2">
        <v>5.5</v>
      </c>
      <c r="D3322" s="2">
        <v>2.83</v>
      </c>
      <c r="E3322" s="2">
        <v>0.09</v>
      </c>
      <c r="F3322" s="2">
        <v>49.9</v>
      </c>
      <c r="G3322" s="4">
        <v>44461.31721758102</v>
      </c>
      <c r="H3322" s="8">
        <v>44461.0</v>
      </c>
    </row>
    <row r="3323">
      <c r="A3323" s="2">
        <v>0.28</v>
      </c>
      <c r="B3323" s="2">
        <v>231.8</v>
      </c>
      <c r="C3323" s="2">
        <v>7.7</v>
      </c>
      <c r="D3323" s="2">
        <v>2.83</v>
      </c>
      <c r="E3323" s="2">
        <v>0.12</v>
      </c>
      <c r="F3323" s="2">
        <v>49.9</v>
      </c>
      <c r="G3323" s="4">
        <v>44461.31732618056</v>
      </c>
      <c r="H3323" s="8">
        <v>44461.0</v>
      </c>
    </row>
    <row r="3324">
      <c r="A3324" s="2">
        <v>0.26</v>
      </c>
      <c r="B3324" s="2">
        <v>231.9</v>
      </c>
      <c r="C3324" s="2">
        <v>4.0</v>
      </c>
      <c r="D3324" s="2">
        <v>2.83</v>
      </c>
      <c r="E3324" s="2">
        <v>0.07</v>
      </c>
      <c r="F3324" s="2">
        <v>49.9</v>
      </c>
      <c r="G3324" s="4">
        <v>44461.317429675924</v>
      </c>
      <c r="H3324" s="8">
        <v>44461.0</v>
      </c>
    </row>
    <row r="3325">
      <c r="A3325" s="2">
        <v>0.26</v>
      </c>
      <c r="B3325" s="2">
        <v>231.9</v>
      </c>
      <c r="C3325" s="2">
        <v>3.8</v>
      </c>
      <c r="D3325" s="2">
        <v>2.83</v>
      </c>
      <c r="E3325" s="2">
        <v>0.06</v>
      </c>
      <c r="F3325" s="2">
        <v>50.0</v>
      </c>
      <c r="G3325" s="4">
        <v>44461.317536585644</v>
      </c>
      <c r="H3325" s="8">
        <v>44461.0</v>
      </c>
    </row>
    <row r="3326">
      <c r="A3326" s="2">
        <v>0.26</v>
      </c>
      <c r="B3326" s="2">
        <v>231.7</v>
      </c>
      <c r="C3326" s="2">
        <v>3.8</v>
      </c>
      <c r="D3326" s="2">
        <v>2.83</v>
      </c>
      <c r="E3326" s="2">
        <v>0.06</v>
      </c>
      <c r="F3326" s="2">
        <v>50.0</v>
      </c>
      <c r="G3326" s="4">
        <v>44461.31764555555</v>
      </c>
      <c r="H3326" s="8">
        <v>44461.0</v>
      </c>
    </row>
    <row r="3327">
      <c r="A3327" s="2">
        <v>0.26</v>
      </c>
      <c r="B3327" s="2">
        <v>231.8</v>
      </c>
      <c r="C3327" s="2">
        <v>3.0</v>
      </c>
      <c r="D3327" s="2">
        <v>2.83</v>
      </c>
      <c r="E3327" s="2">
        <v>0.05</v>
      </c>
      <c r="F3327" s="2">
        <v>50.0</v>
      </c>
      <c r="G3327" s="4">
        <v>44461.317751724535</v>
      </c>
      <c r="H3327" s="8">
        <v>44461.0</v>
      </c>
    </row>
    <row r="3328">
      <c r="A3328" s="2">
        <v>0.27</v>
      </c>
      <c r="B3328" s="2">
        <v>231.7</v>
      </c>
      <c r="C3328" s="2">
        <v>4.7</v>
      </c>
      <c r="D3328" s="2">
        <v>2.83</v>
      </c>
      <c r="E3328" s="2">
        <v>0.08</v>
      </c>
      <c r="F3328" s="2">
        <v>50.0</v>
      </c>
      <c r="G3328" s="4">
        <v>44461.31785578704</v>
      </c>
      <c r="H3328" s="8">
        <v>44461.0</v>
      </c>
    </row>
    <row r="3329">
      <c r="A3329" s="2">
        <v>0.27</v>
      </c>
      <c r="B3329" s="2">
        <v>231.8</v>
      </c>
      <c r="C3329" s="2">
        <v>7.5</v>
      </c>
      <c r="D3329" s="2">
        <v>2.83</v>
      </c>
      <c r="E3329" s="2">
        <v>0.12</v>
      </c>
      <c r="F3329" s="2">
        <v>50.0</v>
      </c>
      <c r="G3329" s="4">
        <v>44461.31796501158</v>
      </c>
      <c r="H3329" s="8">
        <v>44461.0</v>
      </c>
    </row>
    <row r="3330">
      <c r="A3330" s="2">
        <v>0.27</v>
      </c>
      <c r="B3330" s="2">
        <v>232.0</v>
      </c>
      <c r="C3330" s="2">
        <v>6.6</v>
      </c>
      <c r="D3330" s="2">
        <v>2.83</v>
      </c>
      <c r="E3330" s="2">
        <v>0.11</v>
      </c>
      <c r="F3330" s="2">
        <v>50.0</v>
      </c>
      <c r="G3330" s="4">
        <v>44461.31807193287</v>
      </c>
      <c r="H3330" s="8">
        <v>44461.0</v>
      </c>
    </row>
    <row r="3331">
      <c r="A3331" s="2">
        <v>0.26</v>
      </c>
      <c r="B3331" s="2">
        <v>231.9</v>
      </c>
      <c r="C3331" s="2">
        <v>3.4</v>
      </c>
      <c r="D3331" s="2">
        <v>2.83</v>
      </c>
      <c r="E3331" s="2">
        <v>0.06</v>
      </c>
      <c r="F3331" s="2">
        <v>50.0</v>
      </c>
      <c r="G3331" s="4">
        <v>44461.31817798611</v>
      </c>
      <c r="H3331" s="8">
        <v>44461.0</v>
      </c>
    </row>
    <row r="3332">
      <c r="A3332" s="2">
        <v>0.26</v>
      </c>
      <c r="B3332" s="2">
        <v>231.9</v>
      </c>
      <c r="C3332" s="2">
        <v>4.0</v>
      </c>
      <c r="D3332" s="2">
        <v>2.83</v>
      </c>
      <c r="E3332" s="2">
        <v>0.07</v>
      </c>
      <c r="F3332" s="2">
        <v>50.0</v>
      </c>
      <c r="G3332" s="4">
        <v>44461.318286863425</v>
      </c>
      <c r="H3332" s="8">
        <v>44461.0</v>
      </c>
    </row>
    <row r="3333">
      <c r="A3333" s="2">
        <v>0.27</v>
      </c>
      <c r="B3333" s="2">
        <v>232.1</v>
      </c>
      <c r="C3333" s="2">
        <v>5.6</v>
      </c>
      <c r="D3333" s="2">
        <v>2.83</v>
      </c>
      <c r="E3333" s="2">
        <v>0.09</v>
      </c>
      <c r="F3333" s="2">
        <v>50.0</v>
      </c>
      <c r="G3333" s="4">
        <v>44461.31839447917</v>
      </c>
      <c r="H3333" s="8">
        <v>44461.0</v>
      </c>
    </row>
    <row r="3334">
      <c r="A3334" s="2">
        <v>0.28</v>
      </c>
      <c r="B3334" s="2">
        <v>232.0</v>
      </c>
      <c r="C3334" s="2">
        <v>7.8</v>
      </c>
      <c r="D3334" s="2">
        <v>2.83</v>
      </c>
      <c r="E3334" s="2">
        <v>0.12</v>
      </c>
      <c r="F3334" s="2">
        <v>50.0</v>
      </c>
      <c r="G3334" s="4">
        <v>44461.31849881944</v>
      </c>
      <c r="H3334" s="8">
        <v>44461.0</v>
      </c>
    </row>
    <row r="3335">
      <c r="A3335" s="2">
        <v>0.29</v>
      </c>
      <c r="B3335" s="2">
        <v>232.1</v>
      </c>
      <c r="C3335" s="2">
        <v>9.2</v>
      </c>
      <c r="D3335" s="2">
        <v>2.83</v>
      </c>
      <c r="E3335" s="2">
        <v>0.14</v>
      </c>
      <c r="F3335" s="2">
        <v>50.0</v>
      </c>
      <c r="G3335" s="4">
        <v>44461.31860252315</v>
      </c>
      <c r="H3335" s="8">
        <v>44461.0</v>
      </c>
    </row>
    <row r="3336">
      <c r="A3336" s="2">
        <v>0.28</v>
      </c>
      <c r="B3336" s="2">
        <v>231.4</v>
      </c>
      <c r="C3336" s="2">
        <v>8.6</v>
      </c>
      <c r="D3336" s="2">
        <v>2.83</v>
      </c>
      <c r="E3336" s="2">
        <v>0.13</v>
      </c>
      <c r="F3336" s="2">
        <v>50.0</v>
      </c>
      <c r="G3336" s="4">
        <v>44461.318708287035</v>
      </c>
      <c r="H3336" s="8">
        <v>44461.0</v>
      </c>
    </row>
    <row r="3337">
      <c r="A3337" s="2">
        <v>0.28</v>
      </c>
      <c r="B3337" s="2">
        <v>230.1</v>
      </c>
      <c r="C3337" s="2">
        <v>8.4</v>
      </c>
      <c r="D3337" s="2">
        <v>2.83</v>
      </c>
      <c r="E3337" s="2">
        <v>0.13</v>
      </c>
      <c r="F3337" s="2">
        <v>50.0</v>
      </c>
      <c r="G3337" s="4">
        <v>44461.31881542824</v>
      </c>
      <c r="H3337" s="8">
        <v>44461.0</v>
      </c>
    </row>
    <row r="3338">
      <c r="A3338" s="2">
        <v>0.26</v>
      </c>
      <c r="B3338" s="2">
        <v>230.3</v>
      </c>
      <c r="C3338" s="2">
        <v>3.9</v>
      </c>
      <c r="D3338" s="2">
        <v>2.83</v>
      </c>
      <c r="E3338" s="2">
        <v>0.06</v>
      </c>
      <c r="F3338" s="2">
        <v>50.0</v>
      </c>
      <c r="G3338" s="4">
        <v>44461.318924039355</v>
      </c>
      <c r="H3338" s="8">
        <v>44461.0</v>
      </c>
    </row>
    <row r="3339">
      <c r="A3339" s="2">
        <v>0.26</v>
      </c>
      <c r="B3339" s="2">
        <v>230.4</v>
      </c>
      <c r="C3339" s="2">
        <v>2.6</v>
      </c>
      <c r="D3339" s="2">
        <v>2.83</v>
      </c>
      <c r="E3339" s="2">
        <v>0.04</v>
      </c>
      <c r="F3339" s="2">
        <v>50.0</v>
      </c>
      <c r="G3339" s="4">
        <v>44461.31903032407</v>
      </c>
      <c r="H3339" s="8">
        <v>44461.0</v>
      </c>
    </row>
    <row r="3340">
      <c r="A3340" s="2">
        <v>0.27</v>
      </c>
      <c r="B3340" s="2">
        <v>230.4</v>
      </c>
      <c r="C3340" s="2">
        <v>5.6</v>
      </c>
      <c r="D3340" s="2">
        <v>2.83</v>
      </c>
      <c r="E3340" s="2">
        <v>0.09</v>
      </c>
      <c r="F3340" s="2">
        <v>50.0</v>
      </c>
      <c r="G3340" s="4">
        <v>44461.31913554398</v>
      </c>
      <c r="H3340" s="8">
        <v>44461.0</v>
      </c>
    </row>
    <row r="3341">
      <c r="A3341" s="2">
        <v>0.28</v>
      </c>
      <c r="B3341" s="2">
        <v>230.3</v>
      </c>
      <c r="C3341" s="2">
        <v>6.4</v>
      </c>
      <c r="D3341" s="2">
        <v>2.83</v>
      </c>
      <c r="E3341" s="2">
        <v>0.1</v>
      </c>
      <c r="F3341" s="2">
        <v>50.0</v>
      </c>
      <c r="G3341" s="4">
        <v>44461.31924660879</v>
      </c>
      <c r="H3341" s="8">
        <v>44461.0</v>
      </c>
    </row>
    <row r="3342">
      <c r="A3342" s="2">
        <v>0.29</v>
      </c>
      <c r="B3342" s="2">
        <v>230.5</v>
      </c>
      <c r="C3342" s="2">
        <v>8.5</v>
      </c>
      <c r="D3342" s="2">
        <v>2.83</v>
      </c>
      <c r="E3342" s="2">
        <v>0.13</v>
      </c>
      <c r="F3342" s="2">
        <v>50.0</v>
      </c>
      <c r="G3342" s="4">
        <v>44461.319354074076</v>
      </c>
      <c r="H3342" s="8">
        <v>44461.0</v>
      </c>
    </row>
    <row r="3343">
      <c r="A3343" s="2">
        <v>0.29</v>
      </c>
      <c r="B3343" s="2">
        <v>230.3</v>
      </c>
      <c r="C3343" s="2">
        <v>9.2</v>
      </c>
      <c r="D3343" s="2">
        <v>2.83</v>
      </c>
      <c r="E3343" s="2">
        <v>0.14</v>
      </c>
      <c r="F3343" s="2">
        <v>50.0</v>
      </c>
      <c r="G3343" s="4">
        <v>44461.31946092592</v>
      </c>
      <c r="H3343" s="8">
        <v>44461.0</v>
      </c>
    </row>
    <row r="3344">
      <c r="A3344" s="2">
        <v>0.26</v>
      </c>
      <c r="B3344" s="2">
        <v>231.2</v>
      </c>
      <c r="C3344" s="2">
        <v>3.4</v>
      </c>
      <c r="D3344" s="2">
        <v>2.83</v>
      </c>
      <c r="E3344" s="2">
        <v>0.06</v>
      </c>
      <c r="F3344" s="2">
        <v>50.0</v>
      </c>
      <c r="G3344" s="4">
        <v>44461.31956679398</v>
      </c>
      <c r="H3344" s="8">
        <v>44461.0</v>
      </c>
    </row>
    <row r="3345">
      <c r="A3345" s="2">
        <v>0.26</v>
      </c>
      <c r="B3345" s="2">
        <v>231.3</v>
      </c>
      <c r="C3345" s="2">
        <v>4.0</v>
      </c>
      <c r="D3345" s="2">
        <v>2.83</v>
      </c>
      <c r="E3345" s="2">
        <v>0.07</v>
      </c>
      <c r="F3345" s="2">
        <v>50.0</v>
      </c>
      <c r="G3345" s="4">
        <v>44461.319671516205</v>
      </c>
      <c r="H3345" s="8">
        <v>44461.0</v>
      </c>
    </row>
    <row r="3346">
      <c r="A3346" s="2">
        <v>0.26</v>
      </c>
      <c r="B3346" s="2">
        <v>231.3</v>
      </c>
      <c r="C3346" s="2">
        <v>3.4</v>
      </c>
      <c r="D3346" s="2">
        <v>2.83</v>
      </c>
      <c r="E3346" s="2">
        <v>0.06</v>
      </c>
      <c r="F3346" s="2">
        <v>50.0</v>
      </c>
      <c r="G3346" s="4">
        <v>44461.3197794213</v>
      </c>
      <c r="H3346" s="8">
        <v>44461.0</v>
      </c>
    </row>
    <row r="3347">
      <c r="A3347" s="2">
        <v>0.27</v>
      </c>
      <c r="B3347" s="2">
        <v>231.1</v>
      </c>
      <c r="C3347" s="2">
        <v>5.0</v>
      </c>
      <c r="D3347" s="2">
        <v>2.83</v>
      </c>
      <c r="E3347" s="2">
        <v>0.08</v>
      </c>
      <c r="F3347" s="2">
        <v>49.9</v>
      </c>
      <c r="G3347" s="4">
        <v>44461.31988510417</v>
      </c>
      <c r="H3347" s="8">
        <v>44461.0</v>
      </c>
    </row>
    <row r="3348">
      <c r="A3348" s="2">
        <v>0.26</v>
      </c>
      <c r="B3348" s="2">
        <v>231.0</v>
      </c>
      <c r="C3348" s="2">
        <v>4.0</v>
      </c>
      <c r="D3348" s="2">
        <v>2.83</v>
      </c>
      <c r="E3348" s="2">
        <v>0.07</v>
      </c>
      <c r="F3348" s="2">
        <v>49.9</v>
      </c>
      <c r="G3348" s="4">
        <v>44461.320056909724</v>
      </c>
      <c r="H3348" s="8">
        <v>44461.0</v>
      </c>
    </row>
    <row r="3349">
      <c r="A3349" s="2">
        <v>0.27</v>
      </c>
      <c r="B3349" s="2">
        <v>230.9</v>
      </c>
      <c r="C3349" s="2">
        <v>7.4</v>
      </c>
      <c r="D3349" s="2">
        <v>2.83</v>
      </c>
      <c r="E3349" s="2">
        <v>0.12</v>
      </c>
      <c r="F3349" s="2">
        <v>50.0</v>
      </c>
      <c r="G3349" s="4">
        <v>44461.32025668981</v>
      </c>
      <c r="H3349" s="8">
        <v>44461.0</v>
      </c>
    </row>
    <row r="3350">
      <c r="A3350" s="2">
        <v>0.26</v>
      </c>
      <c r="B3350" s="2">
        <v>230.9</v>
      </c>
      <c r="C3350" s="2">
        <v>3.2</v>
      </c>
      <c r="D3350" s="2">
        <v>2.83</v>
      </c>
      <c r="E3350" s="2">
        <v>0.05</v>
      </c>
      <c r="F3350" s="2">
        <v>50.0</v>
      </c>
      <c r="G3350" s="4">
        <v>44461.32037114583</v>
      </c>
      <c r="H3350" s="8">
        <v>44461.0</v>
      </c>
    </row>
    <row r="3351">
      <c r="A3351" s="2">
        <v>0.28</v>
      </c>
      <c r="B3351" s="2">
        <v>230.9</v>
      </c>
      <c r="C3351" s="2">
        <v>8.5</v>
      </c>
      <c r="D3351" s="2">
        <v>2.83</v>
      </c>
      <c r="E3351" s="2">
        <v>0.13</v>
      </c>
      <c r="F3351" s="2">
        <v>50.0</v>
      </c>
      <c r="G3351" s="4">
        <v>44461.32048371527</v>
      </c>
      <c r="H3351" s="8">
        <v>44461.0</v>
      </c>
    </row>
    <row r="3352">
      <c r="A3352" s="2">
        <v>0.29</v>
      </c>
      <c r="B3352" s="2">
        <v>231.2</v>
      </c>
      <c r="C3352" s="2">
        <v>10.1</v>
      </c>
      <c r="D3352" s="2">
        <v>2.83</v>
      </c>
      <c r="E3352" s="2">
        <v>0.15</v>
      </c>
      <c r="F3352" s="2">
        <v>50.0</v>
      </c>
      <c r="G3352" s="4">
        <v>44461.32058717593</v>
      </c>
      <c r="H3352" s="8">
        <v>44461.0</v>
      </c>
    </row>
    <row r="3353">
      <c r="A3353" s="2">
        <v>0.28</v>
      </c>
      <c r="B3353" s="2">
        <v>231.2</v>
      </c>
      <c r="C3353" s="2">
        <v>8.5</v>
      </c>
      <c r="D3353" s="2">
        <v>2.83</v>
      </c>
      <c r="E3353" s="2">
        <v>0.13</v>
      </c>
      <c r="F3353" s="2">
        <v>50.0</v>
      </c>
      <c r="G3353" s="4">
        <v>44461.32068605324</v>
      </c>
      <c r="H3353" s="8">
        <v>44461.0</v>
      </c>
    </row>
    <row r="3354">
      <c r="A3354" s="2">
        <v>0.28</v>
      </c>
      <c r="B3354" s="2">
        <v>231.2</v>
      </c>
      <c r="C3354" s="2">
        <v>6.3</v>
      </c>
      <c r="D3354" s="2">
        <v>2.83</v>
      </c>
      <c r="E3354" s="2">
        <v>0.1</v>
      </c>
      <c r="F3354" s="2">
        <v>50.0</v>
      </c>
      <c r="G3354" s="4">
        <v>44461.32082443287</v>
      </c>
      <c r="H3354" s="8">
        <v>44461.0</v>
      </c>
    </row>
    <row r="3355">
      <c r="A3355" s="2">
        <v>0.28</v>
      </c>
      <c r="B3355" s="2">
        <v>231.2</v>
      </c>
      <c r="C3355" s="2">
        <v>8.1</v>
      </c>
      <c r="D3355" s="2">
        <v>2.83</v>
      </c>
      <c r="E3355" s="2">
        <v>0.12</v>
      </c>
      <c r="F3355" s="2">
        <v>50.0</v>
      </c>
      <c r="G3355" s="4">
        <v>44461.32093236111</v>
      </c>
      <c r="H3355" s="8">
        <v>44461.0</v>
      </c>
    </row>
    <row r="3356">
      <c r="A3356" s="2">
        <v>0.29</v>
      </c>
      <c r="B3356" s="2">
        <v>231.1</v>
      </c>
      <c r="C3356" s="2">
        <v>9.4</v>
      </c>
      <c r="D3356" s="2">
        <v>2.83</v>
      </c>
      <c r="E3356" s="2">
        <v>0.14</v>
      </c>
      <c r="F3356" s="2">
        <v>50.0</v>
      </c>
      <c r="G3356" s="4">
        <v>44461.32104018518</v>
      </c>
      <c r="H3356" s="8">
        <v>44461.0</v>
      </c>
    </row>
    <row r="3357">
      <c r="A3357" s="2">
        <v>0.28</v>
      </c>
      <c r="B3357" s="2">
        <v>231.1</v>
      </c>
      <c r="C3357" s="2">
        <v>8.9</v>
      </c>
      <c r="D3357" s="2">
        <v>2.83</v>
      </c>
      <c r="E3357" s="2">
        <v>0.14</v>
      </c>
      <c r="F3357" s="2">
        <v>50.0</v>
      </c>
      <c r="G3357" s="4">
        <v>44461.321150902775</v>
      </c>
      <c r="H3357" s="8">
        <v>44461.0</v>
      </c>
    </row>
    <row r="3358">
      <c r="A3358" s="2">
        <v>0.26</v>
      </c>
      <c r="B3358" s="2">
        <v>232.1</v>
      </c>
      <c r="C3358" s="2">
        <v>3.1</v>
      </c>
      <c r="D3358" s="2">
        <v>2.83</v>
      </c>
      <c r="E3358" s="2">
        <v>0.05</v>
      </c>
      <c r="F3358" s="2">
        <v>50.0</v>
      </c>
      <c r="G3358" s="4">
        <v>44461.321255</v>
      </c>
      <c r="H3358" s="8">
        <v>44461.0</v>
      </c>
    </row>
    <row r="3359">
      <c r="A3359" s="2">
        <v>0.26</v>
      </c>
      <c r="B3359" s="2">
        <v>232.0</v>
      </c>
      <c r="C3359" s="2">
        <v>4.2</v>
      </c>
      <c r="D3359" s="2">
        <v>2.83</v>
      </c>
      <c r="E3359" s="2">
        <v>0.07</v>
      </c>
      <c r="F3359" s="2">
        <v>49.9</v>
      </c>
      <c r="G3359" s="4">
        <v>44461.32136292824</v>
      </c>
      <c r="H3359" s="8">
        <v>44461.0</v>
      </c>
    </row>
    <row r="3360">
      <c r="A3360" s="2">
        <v>0.26</v>
      </c>
      <c r="B3360" s="2">
        <v>232.3</v>
      </c>
      <c r="C3360" s="2">
        <v>4.0</v>
      </c>
      <c r="D3360" s="2">
        <v>2.83</v>
      </c>
      <c r="E3360" s="2">
        <v>0.07</v>
      </c>
      <c r="F3360" s="2">
        <v>49.9</v>
      </c>
      <c r="G3360" s="4">
        <v>44461.32146857639</v>
      </c>
      <c r="H3360" s="8">
        <v>44461.0</v>
      </c>
    </row>
    <row r="3361">
      <c r="A3361" s="2">
        <v>0.27</v>
      </c>
      <c r="B3361" s="2">
        <v>232.2</v>
      </c>
      <c r="C3361" s="2">
        <v>4.7</v>
      </c>
      <c r="D3361" s="2">
        <v>2.83</v>
      </c>
      <c r="E3361" s="2">
        <v>0.08</v>
      </c>
      <c r="F3361" s="2">
        <v>49.9</v>
      </c>
      <c r="G3361" s="4">
        <v>44461.321569733795</v>
      </c>
      <c r="H3361" s="8">
        <v>44461.0</v>
      </c>
    </row>
    <row r="3362">
      <c r="A3362" s="2">
        <v>0.28</v>
      </c>
      <c r="B3362" s="2">
        <v>232.1</v>
      </c>
      <c r="C3362" s="2">
        <v>7.1</v>
      </c>
      <c r="D3362" s="2">
        <v>2.83</v>
      </c>
      <c r="E3362" s="2">
        <v>0.11</v>
      </c>
      <c r="F3362" s="2">
        <v>49.9</v>
      </c>
      <c r="G3362" s="4">
        <v>44461.32167292824</v>
      </c>
      <c r="H3362" s="8">
        <v>44461.0</v>
      </c>
    </row>
    <row r="3363">
      <c r="A3363" s="2">
        <v>0.28</v>
      </c>
      <c r="B3363" s="2">
        <v>232.1</v>
      </c>
      <c r="C3363" s="2">
        <v>7.7</v>
      </c>
      <c r="D3363" s="2">
        <v>2.83</v>
      </c>
      <c r="E3363" s="2">
        <v>0.12</v>
      </c>
      <c r="F3363" s="2">
        <v>50.0</v>
      </c>
      <c r="G3363" s="4">
        <v>44461.32177738426</v>
      </c>
      <c r="H3363" s="8">
        <v>44461.0</v>
      </c>
    </row>
    <row r="3364">
      <c r="A3364" s="2">
        <v>0.29</v>
      </c>
      <c r="B3364" s="2">
        <v>232.2</v>
      </c>
      <c r="C3364" s="2">
        <v>9.4</v>
      </c>
      <c r="D3364" s="2">
        <v>2.83</v>
      </c>
      <c r="E3364" s="2">
        <v>0.14</v>
      </c>
      <c r="F3364" s="2">
        <v>50.0</v>
      </c>
      <c r="G3364" s="4">
        <v>44461.321884571764</v>
      </c>
      <c r="H3364" s="8">
        <v>44461.0</v>
      </c>
    </row>
    <row r="3365">
      <c r="A3365" s="2">
        <v>0.27</v>
      </c>
      <c r="B3365" s="2">
        <v>232.3</v>
      </c>
      <c r="C3365" s="2">
        <v>7.2</v>
      </c>
      <c r="D3365" s="2">
        <v>2.83</v>
      </c>
      <c r="E3365" s="2">
        <v>0.11</v>
      </c>
      <c r="F3365" s="2">
        <v>50.0</v>
      </c>
      <c r="G3365" s="4">
        <v>44461.32199193287</v>
      </c>
      <c r="H3365" s="8">
        <v>44461.0</v>
      </c>
    </row>
    <row r="3366">
      <c r="A3366" s="2">
        <v>0.26</v>
      </c>
      <c r="B3366" s="2">
        <v>232.3</v>
      </c>
      <c r="C3366" s="2">
        <v>4.0</v>
      </c>
      <c r="D3366" s="2">
        <v>2.83</v>
      </c>
      <c r="E3366" s="2">
        <v>0.07</v>
      </c>
      <c r="F3366" s="2">
        <v>50.0</v>
      </c>
      <c r="G3366" s="4">
        <v>44461.32210215278</v>
      </c>
      <c r="H3366" s="8">
        <v>44461.0</v>
      </c>
    </row>
    <row r="3367">
      <c r="A3367" s="2">
        <v>0.26</v>
      </c>
      <c r="B3367" s="2">
        <v>232.4</v>
      </c>
      <c r="C3367" s="2">
        <v>4.2</v>
      </c>
      <c r="D3367" s="2">
        <v>2.83</v>
      </c>
      <c r="E3367" s="2">
        <v>0.07</v>
      </c>
      <c r="F3367" s="2">
        <v>50.0</v>
      </c>
      <c r="G3367" s="4">
        <v>44461.322210046295</v>
      </c>
      <c r="H3367" s="8">
        <v>44461.0</v>
      </c>
    </row>
    <row r="3368">
      <c r="A3368" s="2">
        <v>0.27</v>
      </c>
      <c r="B3368" s="2">
        <v>231.0</v>
      </c>
      <c r="C3368" s="2">
        <v>5.5</v>
      </c>
      <c r="D3368" s="2">
        <v>2.83</v>
      </c>
      <c r="E3368" s="2">
        <v>0.09</v>
      </c>
      <c r="F3368" s="2">
        <v>50.0</v>
      </c>
      <c r="G3368" s="4">
        <v>44461.32231834491</v>
      </c>
      <c r="H3368" s="8">
        <v>44461.0</v>
      </c>
    </row>
    <row r="3369">
      <c r="A3369" s="2">
        <v>0.28</v>
      </c>
      <c r="B3369" s="2">
        <v>231.1</v>
      </c>
      <c r="C3369" s="2">
        <v>6.1</v>
      </c>
      <c r="D3369" s="2">
        <v>2.83</v>
      </c>
      <c r="E3369" s="2">
        <v>0.1</v>
      </c>
      <c r="F3369" s="2">
        <v>50.0</v>
      </c>
      <c r="G3369" s="4">
        <v>44461.322423391204</v>
      </c>
      <c r="H3369" s="8">
        <v>44461.0</v>
      </c>
    </row>
    <row r="3370">
      <c r="A3370" s="2">
        <v>0.26</v>
      </c>
      <c r="B3370" s="2">
        <v>231.1</v>
      </c>
      <c r="C3370" s="2">
        <v>3.7</v>
      </c>
      <c r="D3370" s="2">
        <v>2.83</v>
      </c>
      <c r="E3370" s="2">
        <v>0.06</v>
      </c>
      <c r="F3370" s="2">
        <v>50.0</v>
      </c>
      <c r="G3370" s="4">
        <v>44461.32252945602</v>
      </c>
      <c r="H3370" s="8">
        <v>44461.0</v>
      </c>
    </row>
    <row r="3371">
      <c r="A3371" s="2">
        <v>0.26</v>
      </c>
      <c r="B3371" s="2">
        <v>231.0</v>
      </c>
      <c r="C3371" s="2">
        <v>3.6</v>
      </c>
      <c r="D3371" s="2">
        <v>2.83</v>
      </c>
      <c r="E3371" s="2">
        <v>0.06</v>
      </c>
      <c r="F3371" s="2">
        <v>50.0</v>
      </c>
      <c r="G3371" s="4">
        <v>44461.32263497685</v>
      </c>
      <c r="H3371" s="8">
        <v>44461.0</v>
      </c>
    </row>
    <row r="3372">
      <c r="A3372" s="2">
        <v>0.26</v>
      </c>
      <c r="B3372" s="2">
        <v>230.9</v>
      </c>
      <c r="C3372" s="2">
        <v>3.7</v>
      </c>
      <c r="D3372" s="2">
        <v>2.83</v>
      </c>
      <c r="E3372" s="2">
        <v>0.06</v>
      </c>
      <c r="F3372" s="2">
        <v>50.0</v>
      </c>
      <c r="G3372" s="4">
        <v>44461.32274019676</v>
      </c>
      <c r="H3372" s="8">
        <v>44461.0</v>
      </c>
    </row>
    <row r="3373">
      <c r="A3373" s="2">
        <v>0.26</v>
      </c>
      <c r="B3373" s="2">
        <v>230.8</v>
      </c>
      <c r="C3373" s="2">
        <v>8.1</v>
      </c>
      <c r="D3373" s="2">
        <v>2.83</v>
      </c>
      <c r="E3373" s="2">
        <v>0.13</v>
      </c>
      <c r="F3373" s="2">
        <v>50.0</v>
      </c>
      <c r="G3373" s="4">
        <v>44461.32285428241</v>
      </c>
      <c r="H3373" s="8">
        <v>44461.0</v>
      </c>
    </row>
    <row r="3374">
      <c r="A3374" s="2">
        <v>0.28</v>
      </c>
      <c r="B3374" s="2">
        <v>230.9</v>
      </c>
      <c r="C3374" s="2">
        <v>9.0</v>
      </c>
      <c r="D3374" s="2">
        <v>2.83</v>
      </c>
      <c r="E3374" s="2">
        <v>0.14</v>
      </c>
      <c r="F3374" s="2">
        <v>49.9</v>
      </c>
      <c r="G3374" s="4">
        <v>44461.32296431713</v>
      </c>
      <c r="H3374" s="8">
        <v>44461.0</v>
      </c>
    </row>
    <row r="3375">
      <c r="A3375" s="2">
        <v>0.28</v>
      </c>
      <c r="B3375" s="2">
        <v>230.7</v>
      </c>
      <c r="C3375" s="2">
        <v>9.3</v>
      </c>
      <c r="D3375" s="2">
        <v>2.83</v>
      </c>
      <c r="E3375" s="2">
        <v>0.14</v>
      </c>
      <c r="F3375" s="2">
        <v>49.9</v>
      </c>
      <c r="G3375" s="4">
        <v>44461.32307162037</v>
      </c>
      <c r="H3375" s="8">
        <v>44461.0</v>
      </c>
    </row>
    <row r="3376">
      <c r="A3376" s="2">
        <v>0.26</v>
      </c>
      <c r="B3376" s="2">
        <v>230.8</v>
      </c>
      <c r="C3376" s="2">
        <v>3.7</v>
      </c>
      <c r="D3376" s="2">
        <v>2.83</v>
      </c>
      <c r="E3376" s="2">
        <v>0.06</v>
      </c>
      <c r="F3376" s="2">
        <v>49.9</v>
      </c>
      <c r="G3376" s="4">
        <v>44461.32318310185</v>
      </c>
      <c r="H3376" s="8">
        <v>44461.0</v>
      </c>
    </row>
    <row r="3377">
      <c r="A3377" s="2">
        <v>0.26</v>
      </c>
      <c r="B3377" s="2">
        <v>230.6</v>
      </c>
      <c r="C3377" s="2">
        <v>3.1</v>
      </c>
      <c r="D3377" s="2">
        <v>2.83</v>
      </c>
      <c r="E3377" s="2">
        <v>0.05</v>
      </c>
      <c r="F3377" s="2">
        <v>49.9</v>
      </c>
      <c r="G3377" s="4">
        <v>44461.323291967594</v>
      </c>
      <c r="H3377" s="8">
        <v>44461.0</v>
      </c>
    </row>
    <row r="3378">
      <c r="A3378" s="2">
        <v>0.27</v>
      </c>
      <c r="B3378" s="2">
        <v>230.8</v>
      </c>
      <c r="C3378" s="2">
        <v>5.4</v>
      </c>
      <c r="D3378" s="2">
        <v>2.83</v>
      </c>
      <c r="E3378" s="2">
        <v>0.09</v>
      </c>
      <c r="F3378" s="2">
        <v>49.9</v>
      </c>
      <c r="G3378" s="4">
        <v>44461.32339962963</v>
      </c>
      <c r="H3378" s="8">
        <v>44461.0</v>
      </c>
    </row>
    <row r="3379">
      <c r="A3379" s="2">
        <v>0.28</v>
      </c>
      <c r="B3379" s="2">
        <v>230.8</v>
      </c>
      <c r="C3379" s="2">
        <v>8.5</v>
      </c>
      <c r="D3379" s="2">
        <v>2.83</v>
      </c>
      <c r="E3379" s="2">
        <v>0.13</v>
      </c>
      <c r="F3379" s="2">
        <v>49.9</v>
      </c>
      <c r="G3379" s="4">
        <v>44461.32351135417</v>
      </c>
      <c r="H3379" s="8">
        <v>44461.0</v>
      </c>
    </row>
    <row r="3380">
      <c r="A3380" s="2">
        <v>0.26</v>
      </c>
      <c r="B3380" s="2">
        <v>230.8</v>
      </c>
      <c r="C3380" s="2">
        <v>2.9</v>
      </c>
      <c r="D3380" s="2">
        <v>2.83</v>
      </c>
      <c r="E3380" s="2">
        <v>0.05</v>
      </c>
      <c r="F3380" s="2">
        <v>50.0</v>
      </c>
      <c r="G3380" s="4">
        <v>44461.3236196412</v>
      </c>
      <c r="H3380" s="8">
        <v>44461.0</v>
      </c>
    </row>
    <row r="3381">
      <c r="A3381" s="2">
        <v>0.26</v>
      </c>
      <c r="B3381" s="2">
        <v>230.8</v>
      </c>
      <c r="C3381" s="2">
        <v>3.8</v>
      </c>
      <c r="D3381" s="2">
        <v>2.83</v>
      </c>
      <c r="E3381" s="2">
        <v>0.06</v>
      </c>
      <c r="F3381" s="2">
        <v>50.0</v>
      </c>
      <c r="G3381" s="4">
        <v>44461.32372354167</v>
      </c>
      <c r="H3381" s="8">
        <v>44461.0</v>
      </c>
    </row>
    <row r="3382">
      <c r="A3382" s="2">
        <v>0.26</v>
      </c>
      <c r="B3382" s="2">
        <v>230.6</v>
      </c>
      <c r="C3382" s="2">
        <v>3.0</v>
      </c>
      <c r="D3382" s="2">
        <v>2.83</v>
      </c>
      <c r="E3382" s="2">
        <v>0.05</v>
      </c>
      <c r="F3382" s="2">
        <v>49.9</v>
      </c>
      <c r="G3382" s="4">
        <v>44461.32382925926</v>
      </c>
      <c r="H3382" s="8">
        <v>44461.0</v>
      </c>
    </row>
    <row r="3383">
      <c r="A3383" s="2">
        <v>0.28</v>
      </c>
      <c r="B3383" s="2">
        <v>230.6</v>
      </c>
      <c r="C3383" s="2">
        <v>7.2</v>
      </c>
      <c r="D3383" s="2">
        <v>2.83</v>
      </c>
      <c r="E3383" s="2">
        <v>0.11</v>
      </c>
      <c r="F3383" s="2">
        <v>50.0</v>
      </c>
      <c r="G3383" s="4">
        <v>44461.323939305556</v>
      </c>
      <c r="H3383" s="8">
        <v>44461.0</v>
      </c>
    </row>
    <row r="3384">
      <c r="A3384" s="2">
        <v>0.28</v>
      </c>
      <c r="B3384" s="2">
        <v>230.5</v>
      </c>
      <c r="C3384" s="2">
        <v>8.6</v>
      </c>
      <c r="D3384" s="2">
        <v>2.83</v>
      </c>
      <c r="E3384" s="2">
        <v>0.13</v>
      </c>
      <c r="F3384" s="2">
        <v>49.9</v>
      </c>
      <c r="G3384" s="4">
        <v>44461.32404952546</v>
      </c>
      <c r="H3384" s="8">
        <v>44461.0</v>
      </c>
    </row>
    <row r="3385">
      <c r="A3385" s="2">
        <v>0.26</v>
      </c>
      <c r="B3385" s="2">
        <v>230.5</v>
      </c>
      <c r="C3385" s="2">
        <v>4.0</v>
      </c>
      <c r="D3385" s="2">
        <v>2.83</v>
      </c>
      <c r="E3385" s="2">
        <v>0.07</v>
      </c>
      <c r="F3385" s="2">
        <v>49.9</v>
      </c>
      <c r="G3385" s="4">
        <v>44461.32415681713</v>
      </c>
      <c r="H3385" s="8">
        <v>44461.0</v>
      </c>
    </row>
    <row r="3386">
      <c r="A3386" s="2">
        <v>0.26</v>
      </c>
      <c r="B3386" s="2">
        <v>230.5</v>
      </c>
      <c r="C3386" s="2">
        <v>3.4</v>
      </c>
      <c r="D3386" s="2">
        <v>2.83</v>
      </c>
      <c r="E3386" s="2">
        <v>0.06</v>
      </c>
      <c r="F3386" s="2">
        <v>49.9</v>
      </c>
      <c r="G3386" s="4">
        <v>44461.32426835648</v>
      </c>
      <c r="H3386" s="8">
        <v>44461.0</v>
      </c>
    </row>
    <row r="3387">
      <c r="A3387" s="2">
        <v>0.26</v>
      </c>
      <c r="B3387" s="2">
        <v>230.7</v>
      </c>
      <c r="C3387" s="2">
        <v>3.5</v>
      </c>
      <c r="D3387" s="2">
        <v>2.83</v>
      </c>
      <c r="E3387" s="2">
        <v>0.06</v>
      </c>
      <c r="F3387" s="2">
        <v>49.9</v>
      </c>
      <c r="G3387" s="4">
        <v>44461.32437484954</v>
      </c>
      <c r="H3387" s="8">
        <v>44461.0</v>
      </c>
    </row>
    <row r="3388">
      <c r="A3388" s="2">
        <v>0.27</v>
      </c>
      <c r="B3388" s="2">
        <v>230.5</v>
      </c>
      <c r="C3388" s="2">
        <v>5.6</v>
      </c>
      <c r="D3388" s="2">
        <v>2.83</v>
      </c>
      <c r="E3388" s="2">
        <v>0.09</v>
      </c>
      <c r="F3388" s="2">
        <v>49.9</v>
      </c>
      <c r="G3388" s="4">
        <v>44461.32448152778</v>
      </c>
      <c r="H3388" s="8">
        <v>44461.0</v>
      </c>
    </row>
    <row r="3389">
      <c r="A3389" s="2">
        <v>0.28</v>
      </c>
      <c r="B3389" s="2">
        <v>230.8</v>
      </c>
      <c r="C3389" s="2">
        <v>8.2</v>
      </c>
      <c r="D3389" s="2">
        <v>2.83</v>
      </c>
      <c r="E3389" s="2">
        <v>0.13</v>
      </c>
      <c r="F3389" s="2">
        <v>50.0</v>
      </c>
      <c r="G3389" s="4">
        <v>44461.32458994213</v>
      </c>
      <c r="H3389" s="8">
        <v>44461.0</v>
      </c>
    </row>
    <row r="3390">
      <c r="A3390" s="2">
        <v>0.26</v>
      </c>
      <c r="B3390" s="2">
        <v>230.8</v>
      </c>
      <c r="C3390" s="2">
        <v>4.7</v>
      </c>
      <c r="D3390" s="2">
        <v>2.83</v>
      </c>
      <c r="E3390" s="2">
        <v>0.08</v>
      </c>
      <c r="F3390" s="2">
        <v>50.0</v>
      </c>
      <c r="G3390" s="4">
        <v>44461.32469466435</v>
      </c>
      <c r="H3390" s="8">
        <v>44461.0</v>
      </c>
    </row>
    <row r="3391">
      <c r="A3391" s="2">
        <v>0.26</v>
      </c>
      <c r="B3391" s="2">
        <v>231.0</v>
      </c>
      <c r="C3391" s="2">
        <v>3.4</v>
      </c>
      <c r="D3391" s="2">
        <v>2.83</v>
      </c>
      <c r="E3391" s="2">
        <v>0.06</v>
      </c>
      <c r="F3391" s="2">
        <v>50.0</v>
      </c>
      <c r="G3391" s="4">
        <v>44461.32480119213</v>
      </c>
      <c r="H3391" s="8">
        <v>44461.0</v>
      </c>
    </row>
    <row r="3392">
      <c r="A3392" s="2">
        <v>0.26</v>
      </c>
      <c r="B3392" s="2">
        <v>231.0</v>
      </c>
      <c r="C3392" s="2">
        <v>4.5</v>
      </c>
      <c r="D3392" s="2">
        <v>2.83</v>
      </c>
      <c r="E3392" s="2">
        <v>0.07</v>
      </c>
      <c r="F3392" s="2">
        <v>50.0</v>
      </c>
      <c r="G3392" s="4">
        <v>44461.32490525463</v>
      </c>
      <c r="H3392" s="8">
        <v>44461.0</v>
      </c>
    </row>
    <row r="3393">
      <c r="A3393" s="2">
        <v>0.26</v>
      </c>
      <c r="B3393" s="2">
        <v>231.0</v>
      </c>
      <c r="C3393" s="2">
        <v>3.5</v>
      </c>
      <c r="D3393" s="2">
        <v>2.83</v>
      </c>
      <c r="E3393" s="2">
        <v>0.06</v>
      </c>
      <c r="F3393" s="2">
        <v>50.0</v>
      </c>
      <c r="G3393" s="4">
        <v>44461.325013379625</v>
      </c>
      <c r="H3393" s="8">
        <v>44461.0</v>
      </c>
    </row>
    <row r="3394">
      <c r="A3394" s="2">
        <v>0.28</v>
      </c>
      <c r="B3394" s="2">
        <v>230.9</v>
      </c>
      <c r="C3394" s="2">
        <v>8.7</v>
      </c>
      <c r="D3394" s="2">
        <v>2.83</v>
      </c>
      <c r="E3394" s="2">
        <v>0.13</v>
      </c>
      <c r="F3394" s="2">
        <v>50.0</v>
      </c>
      <c r="G3394" s="4">
        <v>44461.325123773146</v>
      </c>
      <c r="H3394" s="8">
        <v>44461.0</v>
      </c>
    </row>
    <row r="3395">
      <c r="A3395" s="2">
        <v>0.28</v>
      </c>
      <c r="B3395" s="2">
        <v>231.0</v>
      </c>
      <c r="C3395" s="2">
        <v>9.0</v>
      </c>
      <c r="D3395" s="2">
        <v>2.83</v>
      </c>
      <c r="E3395" s="2">
        <v>0.14</v>
      </c>
      <c r="F3395" s="2">
        <v>50.0</v>
      </c>
      <c r="G3395" s="4">
        <v>44461.32523097222</v>
      </c>
      <c r="H3395" s="8">
        <v>44461.0</v>
      </c>
    </row>
    <row r="3396">
      <c r="A3396" s="2">
        <v>0.26</v>
      </c>
      <c r="B3396" s="2">
        <v>230.9</v>
      </c>
      <c r="C3396" s="2">
        <v>5.7</v>
      </c>
      <c r="D3396" s="2">
        <v>2.83</v>
      </c>
      <c r="E3396" s="2">
        <v>0.09</v>
      </c>
      <c r="F3396" s="2">
        <v>50.0</v>
      </c>
      <c r="G3396" s="4">
        <v>44461.32533668981</v>
      </c>
      <c r="H3396" s="8">
        <v>44461.0</v>
      </c>
    </row>
    <row r="3397">
      <c r="A3397" s="2">
        <v>0.26</v>
      </c>
      <c r="B3397" s="2">
        <v>231.0</v>
      </c>
      <c r="C3397" s="2">
        <v>3.4</v>
      </c>
      <c r="D3397" s="2">
        <v>2.83</v>
      </c>
      <c r="E3397" s="2">
        <v>0.06</v>
      </c>
      <c r="F3397" s="2">
        <v>49.9</v>
      </c>
      <c r="G3397" s="4">
        <v>44461.32543917824</v>
      </c>
      <c r="H3397" s="8">
        <v>44461.0</v>
      </c>
    </row>
    <row r="3398">
      <c r="A3398" s="2">
        <v>0.26</v>
      </c>
      <c r="B3398" s="2">
        <v>230.9</v>
      </c>
      <c r="C3398" s="2">
        <v>3.7</v>
      </c>
      <c r="D3398" s="2">
        <v>2.83</v>
      </c>
      <c r="E3398" s="2">
        <v>0.06</v>
      </c>
      <c r="F3398" s="2">
        <v>49.9</v>
      </c>
      <c r="G3398" s="4">
        <v>44461.32554770833</v>
      </c>
      <c r="H3398" s="8">
        <v>44461.0</v>
      </c>
    </row>
    <row r="3399">
      <c r="A3399" s="2">
        <v>0.28</v>
      </c>
      <c r="B3399" s="2">
        <v>230.8</v>
      </c>
      <c r="C3399" s="2">
        <v>8.1</v>
      </c>
      <c r="D3399" s="2">
        <v>2.83</v>
      </c>
      <c r="E3399" s="2">
        <v>0.13</v>
      </c>
      <c r="F3399" s="2">
        <v>49.9</v>
      </c>
      <c r="G3399" s="4">
        <v>44461.325669618054</v>
      </c>
      <c r="H3399" s="8">
        <v>44461.0</v>
      </c>
    </row>
    <row r="3400">
      <c r="A3400" s="2">
        <v>0.26</v>
      </c>
      <c r="B3400" s="2">
        <v>230.7</v>
      </c>
      <c r="C3400" s="2">
        <v>3.9</v>
      </c>
      <c r="D3400" s="2">
        <v>2.83</v>
      </c>
      <c r="E3400" s="2">
        <v>0.06</v>
      </c>
      <c r="F3400" s="2">
        <v>49.9</v>
      </c>
      <c r="G3400" s="4">
        <v>44461.32577364583</v>
      </c>
      <c r="H3400" s="8">
        <v>44461.0</v>
      </c>
    </row>
    <row r="3401">
      <c r="A3401" s="2">
        <v>0.26</v>
      </c>
      <c r="B3401" s="2">
        <v>230.8</v>
      </c>
      <c r="C3401" s="2">
        <v>2.9</v>
      </c>
      <c r="D3401" s="2">
        <v>2.83</v>
      </c>
      <c r="E3401" s="2">
        <v>0.05</v>
      </c>
      <c r="F3401" s="2">
        <v>49.9</v>
      </c>
      <c r="G3401" s="4">
        <v>44461.32588002315</v>
      </c>
      <c r="H3401" s="8">
        <v>44461.0</v>
      </c>
    </row>
    <row r="3402">
      <c r="A3402" s="2">
        <v>0.26</v>
      </c>
      <c r="B3402" s="2">
        <v>231.0</v>
      </c>
      <c r="C3402" s="2">
        <v>3.8</v>
      </c>
      <c r="D3402" s="2">
        <v>2.83</v>
      </c>
      <c r="E3402" s="2">
        <v>0.06</v>
      </c>
      <c r="F3402" s="2">
        <v>49.9</v>
      </c>
      <c r="G3402" s="4">
        <v>44461.32598783565</v>
      </c>
      <c r="H3402" s="8">
        <v>44461.0</v>
      </c>
    </row>
    <row r="3403">
      <c r="A3403" s="2">
        <v>0.26</v>
      </c>
      <c r="B3403" s="2">
        <v>231.0</v>
      </c>
      <c r="C3403" s="2">
        <v>3.2</v>
      </c>
      <c r="D3403" s="2">
        <v>2.83</v>
      </c>
      <c r="E3403" s="2">
        <v>0.05</v>
      </c>
      <c r="F3403" s="2">
        <v>49.9</v>
      </c>
      <c r="G3403" s="4">
        <v>44461.32609703703</v>
      </c>
      <c r="H3403" s="8">
        <v>44461.0</v>
      </c>
    </row>
    <row r="3404">
      <c r="A3404" s="2">
        <v>0.28</v>
      </c>
      <c r="B3404" s="2">
        <v>231.0</v>
      </c>
      <c r="C3404" s="2">
        <v>9.1</v>
      </c>
      <c r="D3404" s="2">
        <v>2.83</v>
      </c>
      <c r="E3404" s="2">
        <v>0.14</v>
      </c>
      <c r="F3404" s="2">
        <v>50.0</v>
      </c>
      <c r="G3404" s="4">
        <v>44461.326202881944</v>
      </c>
      <c r="H3404" s="8">
        <v>44461.0</v>
      </c>
    </row>
    <row r="3405">
      <c r="A3405" s="2">
        <v>0.28</v>
      </c>
      <c r="B3405" s="2">
        <v>231.0</v>
      </c>
      <c r="C3405" s="2">
        <v>8.9</v>
      </c>
      <c r="D3405" s="2">
        <v>2.83</v>
      </c>
      <c r="E3405" s="2">
        <v>0.14</v>
      </c>
      <c r="F3405" s="2">
        <v>50.0</v>
      </c>
      <c r="G3405" s="4">
        <v>44461.3263096875</v>
      </c>
      <c r="H3405" s="8">
        <v>44461.0</v>
      </c>
    </row>
    <row r="3406">
      <c r="A3406" s="2">
        <v>0.27</v>
      </c>
      <c r="B3406" s="2">
        <v>231.0</v>
      </c>
      <c r="C3406" s="2">
        <v>6.2</v>
      </c>
      <c r="D3406" s="2">
        <v>2.83</v>
      </c>
      <c r="E3406" s="2">
        <v>0.1</v>
      </c>
      <c r="F3406" s="2">
        <v>50.0</v>
      </c>
      <c r="G3406" s="4">
        <v>44461.32641633102</v>
      </c>
      <c r="H3406" s="8">
        <v>44461.0</v>
      </c>
    </row>
    <row r="3407">
      <c r="A3407" s="2">
        <v>0.26</v>
      </c>
      <c r="B3407" s="2">
        <v>231.0</v>
      </c>
      <c r="C3407" s="2">
        <v>3.6</v>
      </c>
      <c r="D3407" s="2">
        <v>2.83</v>
      </c>
      <c r="E3407" s="2">
        <v>0.06</v>
      </c>
      <c r="F3407" s="2">
        <v>50.0</v>
      </c>
      <c r="G3407" s="4">
        <v>44461.32653445602</v>
      </c>
      <c r="H3407" s="8">
        <v>44461.0</v>
      </c>
    </row>
    <row r="3408">
      <c r="A3408" s="2">
        <v>0.28</v>
      </c>
      <c r="B3408" s="2">
        <v>230.8</v>
      </c>
      <c r="C3408" s="2">
        <v>8.0</v>
      </c>
      <c r="D3408" s="2">
        <v>2.83</v>
      </c>
      <c r="E3408" s="2">
        <v>0.12</v>
      </c>
      <c r="F3408" s="2">
        <v>50.0</v>
      </c>
      <c r="G3408" s="4">
        <v>44461.326653553246</v>
      </c>
      <c r="H3408" s="8">
        <v>44461.0</v>
      </c>
    </row>
    <row r="3409">
      <c r="A3409" s="2">
        <v>0.28</v>
      </c>
      <c r="B3409" s="2">
        <v>230.7</v>
      </c>
      <c r="C3409" s="2">
        <v>9.1</v>
      </c>
      <c r="D3409" s="2">
        <v>2.83</v>
      </c>
      <c r="E3409" s="2">
        <v>0.14</v>
      </c>
      <c r="F3409" s="2">
        <v>50.0</v>
      </c>
      <c r="G3409" s="4">
        <v>44461.32676053241</v>
      </c>
      <c r="H3409" s="8">
        <v>44461.0</v>
      </c>
    </row>
    <row r="3410">
      <c r="A3410" s="2">
        <v>0.26</v>
      </c>
      <c r="B3410" s="2">
        <v>230.8</v>
      </c>
      <c r="C3410" s="2">
        <v>4.0</v>
      </c>
      <c r="D3410" s="2">
        <v>2.83</v>
      </c>
      <c r="E3410" s="2">
        <v>0.07</v>
      </c>
      <c r="F3410" s="2">
        <v>50.0</v>
      </c>
      <c r="G3410" s="4">
        <v>44461.32686936343</v>
      </c>
      <c r="H3410" s="8">
        <v>44461.0</v>
      </c>
    </row>
    <row r="3411">
      <c r="A3411" s="2">
        <v>0.26</v>
      </c>
      <c r="B3411" s="2">
        <v>230.8</v>
      </c>
      <c r="C3411" s="2">
        <v>4.0</v>
      </c>
      <c r="D3411" s="2">
        <v>2.83</v>
      </c>
      <c r="E3411" s="2">
        <v>0.07</v>
      </c>
      <c r="F3411" s="2">
        <v>49.9</v>
      </c>
      <c r="G3411" s="4">
        <v>44461.326973483796</v>
      </c>
      <c r="H3411" s="8">
        <v>44461.0</v>
      </c>
    </row>
    <row r="3412">
      <c r="A3412" s="2">
        <v>0.27</v>
      </c>
      <c r="B3412" s="2">
        <v>230.8</v>
      </c>
      <c r="C3412" s="2">
        <v>5.5</v>
      </c>
      <c r="D3412" s="2">
        <v>2.83</v>
      </c>
      <c r="E3412" s="2">
        <v>0.09</v>
      </c>
      <c r="F3412" s="2">
        <v>49.9</v>
      </c>
      <c r="G3412" s="4">
        <v>44461.32708108796</v>
      </c>
      <c r="H3412" s="8">
        <v>44461.0</v>
      </c>
    </row>
    <row r="3413">
      <c r="A3413" s="2">
        <v>0.28</v>
      </c>
      <c r="B3413" s="2">
        <v>230.8</v>
      </c>
      <c r="C3413" s="2">
        <v>7.2</v>
      </c>
      <c r="D3413" s="2">
        <v>2.83</v>
      </c>
      <c r="E3413" s="2">
        <v>0.11</v>
      </c>
      <c r="F3413" s="2">
        <v>49.9</v>
      </c>
      <c r="G3413" s="4">
        <v>44461.327191874996</v>
      </c>
      <c r="H3413" s="8">
        <v>44461.0</v>
      </c>
    </row>
    <row r="3414">
      <c r="A3414" s="2">
        <v>0.26</v>
      </c>
      <c r="B3414" s="2">
        <v>230.8</v>
      </c>
      <c r="C3414" s="2">
        <v>4.7</v>
      </c>
      <c r="D3414" s="2">
        <v>2.83</v>
      </c>
      <c r="E3414" s="2">
        <v>0.08</v>
      </c>
      <c r="F3414" s="2">
        <v>49.9</v>
      </c>
      <c r="G3414" s="4">
        <v>44461.327301944446</v>
      </c>
      <c r="H3414" s="8">
        <v>44461.0</v>
      </c>
    </row>
    <row r="3415">
      <c r="A3415" s="2">
        <v>0.26</v>
      </c>
      <c r="B3415" s="2">
        <v>230.6</v>
      </c>
      <c r="C3415" s="2">
        <v>3.0</v>
      </c>
      <c r="D3415" s="2">
        <v>2.83</v>
      </c>
      <c r="E3415" s="2">
        <v>0.05</v>
      </c>
      <c r="F3415" s="2">
        <v>49.9</v>
      </c>
      <c r="G3415" s="4">
        <v>44461.327411342594</v>
      </c>
      <c r="H3415" s="8">
        <v>44461.0</v>
      </c>
    </row>
    <row r="3416">
      <c r="A3416" s="2">
        <v>0.27</v>
      </c>
      <c r="B3416" s="2">
        <v>230.6</v>
      </c>
      <c r="C3416" s="2">
        <v>5.2</v>
      </c>
      <c r="D3416" s="2">
        <v>2.83</v>
      </c>
      <c r="E3416" s="2">
        <v>0.08</v>
      </c>
      <c r="F3416" s="2">
        <v>49.9</v>
      </c>
      <c r="G3416" s="4">
        <v>44461.327530497685</v>
      </c>
      <c r="H3416" s="8">
        <v>44461.0</v>
      </c>
    </row>
    <row r="3417">
      <c r="A3417" s="2">
        <v>0.29</v>
      </c>
      <c r="B3417" s="2">
        <v>230.5</v>
      </c>
      <c r="C3417" s="2">
        <v>9.8</v>
      </c>
      <c r="D3417" s="2">
        <v>2.83</v>
      </c>
      <c r="E3417" s="2">
        <v>0.15</v>
      </c>
      <c r="F3417" s="2">
        <v>49.9</v>
      </c>
      <c r="G3417" s="4">
        <v>44461.32763668981</v>
      </c>
      <c r="H3417" s="8">
        <v>44461.0</v>
      </c>
    </row>
    <row r="3418">
      <c r="A3418" s="2">
        <v>0.26</v>
      </c>
      <c r="B3418" s="2">
        <v>230.5</v>
      </c>
      <c r="C3418" s="2">
        <v>3.2</v>
      </c>
      <c r="D3418" s="2">
        <v>2.83</v>
      </c>
      <c r="E3418" s="2">
        <v>0.05</v>
      </c>
      <c r="F3418" s="2">
        <v>50.0</v>
      </c>
      <c r="G3418" s="4">
        <v>44461.32779510417</v>
      </c>
      <c r="H3418" s="8">
        <v>44461.0</v>
      </c>
    </row>
    <row r="3419">
      <c r="A3419" s="2">
        <v>0.26</v>
      </c>
      <c r="B3419" s="2">
        <v>230.4</v>
      </c>
      <c r="C3419" s="2">
        <v>3.5</v>
      </c>
      <c r="D3419" s="2">
        <v>2.83</v>
      </c>
      <c r="E3419" s="2">
        <v>0.06</v>
      </c>
      <c r="F3419" s="2">
        <v>49.9</v>
      </c>
      <c r="G3419" s="4">
        <v>44461.32790121528</v>
      </c>
      <c r="H3419" s="8">
        <v>44461.0</v>
      </c>
    </row>
    <row r="3420">
      <c r="A3420" s="2">
        <v>0.28</v>
      </c>
      <c r="B3420" s="2">
        <v>230.4</v>
      </c>
      <c r="C3420" s="2">
        <v>7.3</v>
      </c>
      <c r="D3420" s="2">
        <v>2.83</v>
      </c>
      <c r="E3420" s="2">
        <v>0.11</v>
      </c>
      <c r="F3420" s="2">
        <v>50.0</v>
      </c>
      <c r="G3420" s="4">
        <v>44461.328014004626</v>
      </c>
      <c r="H3420" s="8">
        <v>44461.0</v>
      </c>
    </row>
    <row r="3421">
      <c r="A3421" s="2">
        <v>0.29</v>
      </c>
      <c r="B3421" s="2">
        <v>230.5</v>
      </c>
      <c r="C3421" s="2">
        <v>9.6</v>
      </c>
      <c r="D3421" s="2">
        <v>2.83</v>
      </c>
      <c r="E3421" s="2">
        <v>0.15</v>
      </c>
      <c r="F3421" s="2">
        <v>50.0</v>
      </c>
      <c r="G3421" s="4">
        <v>44461.328118715275</v>
      </c>
      <c r="H3421" s="8">
        <v>44461.0</v>
      </c>
    </row>
    <row r="3422">
      <c r="A3422" s="2">
        <v>0.26</v>
      </c>
      <c r="B3422" s="2">
        <v>230.6</v>
      </c>
      <c r="C3422" s="2">
        <v>3.4</v>
      </c>
      <c r="D3422" s="2">
        <v>2.83</v>
      </c>
      <c r="E3422" s="2">
        <v>0.06</v>
      </c>
      <c r="F3422" s="2">
        <v>50.0</v>
      </c>
      <c r="G3422" s="4">
        <v>44461.32823085648</v>
      </c>
      <c r="H3422" s="8">
        <v>44461.0</v>
      </c>
    </row>
    <row r="3423">
      <c r="A3423" s="2">
        <v>0.26</v>
      </c>
      <c r="B3423" s="2">
        <v>230.8</v>
      </c>
      <c r="C3423" s="2">
        <v>3.1</v>
      </c>
      <c r="D3423" s="2">
        <v>2.83</v>
      </c>
      <c r="E3423" s="2">
        <v>0.05</v>
      </c>
      <c r="F3423" s="2">
        <v>50.0</v>
      </c>
      <c r="G3423" s="4">
        <v>44461.32833841435</v>
      </c>
      <c r="H3423" s="8">
        <v>44461.0</v>
      </c>
    </row>
    <row r="3424">
      <c r="A3424" s="2">
        <v>0.26</v>
      </c>
      <c r="B3424" s="2">
        <v>230.9</v>
      </c>
      <c r="C3424" s="2">
        <v>4.1</v>
      </c>
      <c r="D3424" s="2">
        <v>2.83</v>
      </c>
      <c r="E3424" s="2">
        <v>0.07</v>
      </c>
      <c r="F3424" s="2">
        <v>50.0</v>
      </c>
      <c r="G3424" s="4">
        <v>44461.32844716436</v>
      </c>
      <c r="H3424" s="8">
        <v>44461.0</v>
      </c>
    </row>
    <row r="3425">
      <c r="A3425" s="2">
        <v>0.26</v>
      </c>
      <c r="B3425" s="2">
        <v>230.8</v>
      </c>
      <c r="C3425" s="2">
        <v>3.7</v>
      </c>
      <c r="D3425" s="2">
        <v>2.83</v>
      </c>
      <c r="E3425" s="2">
        <v>0.06</v>
      </c>
      <c r="F3425" s="2">
        <v>50.0</v>
      </c>
      <c r="G3425" s="4">
        <v>44461.32855085648</v>
      </c>
      <c r="H3425" s="8">
        <v>44461.0</v>
      </c>
    </row>
    <row r="3426">
      <c r="A3426" s="2">
        <v>0.27</v>
      </c>
      <c r="B3426" s="2">
        <v>230.7</v>
      </c>
      <c r="C3426" s="2">
        <v>5.4</v>
      </c>
      <c r="D3426" s="2">
        <v>2.83</v>
      </c>
      <c r="E3426" s="2">
        <v>0.09</v>
      </c>
      <c r="F3426" s="2">
        <v>50.0</v>
      </c>
      <c r="G3426" s="4">
        <v>44461.3286581713</v>
      </c>
      <c r="H3426" s="8">
        <v>44461.0</v>
      </c>
    </row>
    <row r="3427">
      <c r="A3427" s="2">
        <v>0.26</v>
      </c>
      <c r="B3427" s="2">
        <v>230.8</v>
      </c>
      <c r="C3427" s="2">
        <v>3.8</v>
      </c>
      <c r="D3427" s="2">
        <v>2.83</v>
      </c>
      <c r="E3427" s="2">
        <v>0.06</v>
      </c>
      <c r="F3427" s="2">
        <v>50.0</v>
      </c>
      <c r="G3427" s="4">
        <v>44461.32876615741</v>
      </c>
      <c r="H3427" s="8">
        <v>44461.0</v>
      </c>
    </row>
    <row r="3428">
      <c r="A3428" s="2">
        <v>0.26</v>
      </c>
      <c r="B3428" s="2">
        <v>230.7</v>
      </c>
      <c r="C3428" s="2">
        <v>3.4</v>
      </c>
      <c r="D3428" s="2">
        <v>2.83</v>
      </c>
      <c r="E3428" s="2">
        <v>0.06</v>
      </c>
      <c r="F3428" s="2">
        <v>50.0</v>
      </c>
      <c r="G3428" s="4">
        <v>44461.328876053245</v>
      </c>
      <c r="H3428" s="8">
        <v>44461.0</v>
      </c>
    </row>
    <row r="3429">
      <c r="A3429" s="2">
        <v>0.26</v>
      </c>
      <c r="B3429" s="2">
        <v>230.7</v>
      </c>
      <c r="C3429" s="2">
        <v>4.2</v>
      </c>
      <c r="D3429" s="2">
        <v>2.83</v>
      </c>
      <c r="E3429" s="2">
        <v>0.07</v>
      </c>
      <c r="F3429" s="2">
        <v>50.0</v>
      </c>
      <c r="G3429" s="4">
        <v>44461.32898118056</v>
      </c>
      <c r="H3429" s="8">
        <v>44461.0</v>
      </c>
    </row>
    <row r="3430">
      <c r="A3430" s="2">
        <v>0.27</v>
      </c>
      <c r="B3430" s="2">
        <v>230.6</v>
      </c>
      <c r="C3430" s="2">
        <v>4.6</v>
      </c>
      <c r="D3430" s="2">
        <v>2.83</v>
      </c>
      <c r="E3430" s="2">
        <v>0.07</v>
      </c>
      <c r="F3430" s="2">
        <v>49.9</v>
      </c>
      <c r="G3430" s="4">
        <v>44461.32908605324</v>
      </c>
      <c r="H3430" s="8">
        <v>44461.0</v>
      </c>
    </row>
    <row r="3431">
      <c r="A3431" s="2">
        <v>0.27</v>
      </c>
      <c r="B3431" s="2">
        <v>230.6</v>
      </c>
      <c r="C3431" s="2">
        <v>5.0</v>
      </c>
      <c r="D3431" s="2">
        <v>2.83</v>
      </c>
      <c r="E3431" s="2">
        <v>0.08</v>
      </c>
      <c r="F3431" s="2">
        <v>49.9</v>
      </c>
      <c r="G3431" s="4">
        <v>44461.32919290509</v>
      </c>
      <c r="H3431" s="8">
        <v>44461.0</v>
      </c>
    </row>
    <row r="3432">
      <c r="A3432" s="2">
        <v>0.26</v>
      </c>
      <c r="B3432" s="2">
        <v>230.6</v>
      </c>
      <c r="C3432" s="2">
        <v>5.4</v>
      </c>
      <c r="D3432" s="2">
        <v>2.83</v>
      </c>
      <c r="E3432" s="2">
        <v>0.09</v>
      </c>
      <c r="F3432" s="2">
        <v>49.9</v>
      </c>
      <c r="G3432" s="4">
        <v>44461.32930221065</v>
      </c>
      <c r="H3432" s="8">
        <v>44461.0</v>
      </c>
    </row>
    <row r="3433">
      <c r="A3433" s="2">
        <v>0.26</v>
      </c>
      <c r="B3433" s="2">
        <v>230.5</v>
      </c>
      <c r="C3433" s="2">
        <v>4.0</v>
      </c>
      <c r="D3433" s="2">
        <v>2.83</v>
      </c>
      <c r="E3433" s="2">
        <v>0.07</v>
      </c>
      <c r="F3433" s="2">
        <v>49.9</v>
      </c>
      <c r="G3433" s="4">
        <v>44461.32940949074</v>
      </c>
      <c r="H3433" s="8">
        <v>44461.0</v>
      </c>
    </row>
    <row r="3434">
      <c r="A3434" s="2">
        <v>0.26</v>
      </c>
      <c r="B3434" s="2">
        <v>230.5</v>
      </c>
      <c r="C3434" s="2">
        <v>3.9</v>
      </c>
      <c r="D3434" s="2">
        <v>2.83</v>
      </c>
      <c r="E3434" s="2">
        <v>0.06</v>
      </c>
      <c r="F3434" s="2">
        <v>49.9</v>
      </c>
      <c r="G3434" s="4">
        <v>44461.32951600694</v>
      </c>
      <c r="H3434" s="8">
        <v>44461.0</v>
      </c>
    </row>
    <row r="3435">
      <c r="A3435" s="2">
        <v>0.27</v>
      </c>
      <c r="B3435" s="2">
        <v>230.6</v>
      </c>
      <c r="C3435" s="2">
        <v>4.9</v>
      </c>
      <c r="D3435" s="2">
        <v>2.83</v>
      </c>
      <c r="E3435" s="2">
        <v>0.08</v>
      </c>
      <c r="F3435" s="2">
        <v>49.9</v>
      </c>
      <c r="G3435" s="4">
        <v>44461.32962484953</v>
      </c>
      <c r="H3435" s="8">
        <v>44461.0</v>
      </c>
    </row>
    <row r="3436">
      <c r="A3436" s="2">
        <v>0.28</v>
      </c>
      <c r="B3436" s="2">
        <v>230.7</v>
      </c>
      <c r="C3436" s="2">
        <v>7.7</v>
      </c>
      <c r="D3436" s="2">
        <v>2.83</v>
      </c>
      <c r="E3436" s="2">
        <v>0.12</v>
      </c>
      <c r="F3436" s="2">
        <v>50.0</v>
      </c>
      <c r="G3436" s="4">
        <v>44461.329737685184</v>
      </c>
      <c r="H3436" s="8">
        <v>44461.0</v>
      </c>
    </row>
    <row r="3437">
      <c r="A3437" s="2">
        <v>0.26</v>
      </c>
      <c r="B3437" s="2">
        <v>230.8</v>
      </c>
      <c r="C3437" s="2">
        <v>4.2</v>
      </c>
      <c r="D3437" s="2">
        <v>2.83</v>
      </c>
      <c r="E3437" s="2">
        <v>0.07</v>
      </c>
      <c r="F3437" s="2">
        <v>50.0</v>
      </c>
      <c r="G3437" s="4">
        <v>44461.32984878472</v>
      </c>
      <c r="H3437" s="8">
        <v>44461.0</v>
      </c>
    </row>
    <row r="3438">
      <c r="A3438" s="2">
        <v>0.26</v>
      </c>
      <c r="B3438" s="2">
        <v>230.8</v>
      </c>
      <c r="C3438" s="2">
        <v>3.3</v>
      </c>
      <c r="D3438" s="2">
        <v>2.83</v>
      </c>
      <c r="E3438" s="2">
        <v>0.06</v>
      </c>
      <c r="F3438" s="2">
        <v>50.0</v>
      </c>
      <c r="G3438" s="4">
        <v>44461.329957546295</v>
      </c>
      <c r="H3438" s="8">
        <v>44461.0</v>
      </c>
    </row>
    <row r="3439">
      <c r="A3439" s="2">
        <v>0.26</v>
      </c>
      <c r="B3439" s="2">
        <v>231.1</v>
      </c>
      <c r="C3439" s="2">
        <v>4.1</v>
      </c>
      <c r="D3439" s="2">
        <v>2.83</v>
      </c>
      <c r="E3439" s="2">
        <v>0.07</v>
      </c>
      <c r="F3439" s="2">
        <v>50.0</v>
      </c>
      <c r="G3439" s="4">
        <v>44461.330064016205</v>
      </c>
      <c r="H3439" s="8">
        <v>44461.0</v>
      </c>
    </row>
    <row r="3440">
      <c r="A3440" s="2">
        <v>0.27</v>
      </c>
      <c r="B3440" s="2">
        <v>231.0</v>
      </c>
      <c r="C3440" s="2">
        <v>5.3</v>
      </c>
      <c r="D3440" s="2">
        <v>2.83</v>
      </c>
      <c r="E3440" s="2">
        <v>0.08</v>
      </c>
      <c r="F3440" s="2">
        <v>50.0</v>
      </c>
      <c r="G3440" s="4">
        <v>44461.33017052083</v>
      </c>
      <c r="H3440" s="8">
        <v>44461.0</v>
      </c>
    </row>
    <row r="3441">
      <c r="A3441" s="2">
        <v>0.28</v>
      </c>
      <c r="B3441" s="2">
        <v>231.0</v>
      </c>
      <c r="C3441" s="2">
        <v>8.0</v>
      </c>
      <c r="D3441" s="2">
        <v>2.83</v>
      </c>
      <c r="E3441" s="2">
        <v>0.13</v>
      </c>
      <c r="F3441" s="2">
        <v>50.0</v>
      </c>
      <c r="G3441" s="4">
        <v>44461.330279201386</v>
      </c>
      <c r="H3441" s="8">
        <v>44461.0</v>
      </c>
    </row>
    <row r="3442">
      <c r="A3442" s="2">
        <v>0.26</v>
      </c>
      <c r="B3442" s="2">
        <v>230.9</v>
      </c>
      <c r="C3442" s="2">
        <v>3.3</v>
      </c>
      <c r="D3442" s="2">
        <v>2.83</v>
      </c>
      <c r="E3442" s="2">
        <v>0.06</v>
      </c>
      <c r="F3442" s="2">
        <v>50.0</v>
      </c>
      <c r="G3442" s="4">
        <v>44461.330382245374</v>
      </c>
      <c r="H3442" s="8">
        <v>44461.0</v>
      </c>
    </row>
    <row r="3443">
      <c r="A3443" s="2">
        <v>0.28</v>
      </c>
      <c r="B3443" s="2">
        <v>230.8</v>
      </c>
      <c r="C3443" s="2">
        <v>9.8</v>
      </c>
      <c r="D3443" s="2">
        <v>2.83</v>
      </c>
      <c r="E3443" s="2">
        <v>0.15</v>
      </c>
      <c r="F3443" s="2">
        <v>49.9</v>
      </c>
      <c r="G3443" s="4">
        <v>44461.33048451389</v>
      </c>
      <c r="H3443" s="8">
        <v>44461.0</v>
      </c>
    </row>
    <row r="3444">
      <c r="A3444" s="2">
        <v>0.26</v>
      </c>
      <c r="B3444" s="2">
        <v>230.8</v>
      </c>
      <c r="C3444" s="2">
        <v>3.9</v>
      </c>
      <c r="D3444" s="2">
        <v>2.83</v>
      </c>
      <c r="E3444" s="2">
        <v>0.06</v>
      </c>
      <c r="F3444" s="2">
        <v>49.9</v>
      </c>
      <c r="G3444" s="4">
        <v>44461.3305925</v>
      </c>
      <c r="H3444" s="8">
        <v>44461.0</v>
      </c>
    </row>
    <row r="3445">
      <c r="A3445" s="2">
        <v>0.26</v>
      </c>
      <c r="B3445" s="2">
        <v>230.8</v>
      </c>
      <c r="C3445" s="2">
        <v>3.4</v>
      </c>
      <c r="D3445" s="2">
        <v>2.83</v>
      </c>
      <c r="E3445" s="2">
        <v>0.06</v>
      </c>
      <c r="F3445" s="2">
        <v>49.9</v>
      </c>
      <c r="G3445" s="4">
        <v>44461.33070173611</v>
      </c>
      <c r="H3445" s="8">
        <v>44461.0</v>
      </c>
    </row>
    <row r="3446">
      <c r="A3446" s="2">
        <v>0.26</v>
      </c>
      <c r="B3446" s="2">
        <v>230.8</v>
      </c>
      <c r="C3446" s="2">
        <v>4.3</v>
      </c>
      <c r="D3446" s="2">
        <v>2.83</v>
      </c>
      <c r="E3446" s="2">
        <v>0.07</v>
      </c>
      <c r="F3446" s="2">
        <v>49.9</v>
      </c>
      <c r="G3446" s="4">
        <v>44461.330810555555</v>
      </c>
      <c r="H3446" s="8">
        <v>44461.0</v>
      </c>
    </row>
    <row r="3447">
      <c r="A3447" s="2">
        <v>0.27</v>
      </c>
      <c r="B3447" s="2">
        <v>230.8</v>
      </c>
      <c r="C3447" s="2">
        <v>7.0</v>
      </c>
      <c r="D3447" s="2">
        <v>2.83</v>
      </c>
      <c r="E3447" s="2">
        <v>0.11</v>
      </c>
      <c r="F3447" s="2">
        <v>49.9</v>
      </c>
      <c r="G3447" s="4">
        <v>44461.330919155094</v>
      </c>
      <c r="H3447" s="8">
        <v>44461.0</v>
      </c>
    </row>
    <row r="3448">
      <c r="A3448" s="2">
        <v>0.26</v>
      </c>
      <c r="B3448" s="2">
        <v>230.7</v>
      </c>
      <c r="C3448" s="2">
        <v>4.7</v>
      </c>
      <c r="D3448" s="2">
        <v>2.83</v>
      </c>
      <c r="E3448" s="2">
        <v>0.08</v>
      </c>
      <c r="F3448" s="2">
        <v>50.0</v>
      </c>
      <c r="G3448" s="4">
        <v>44461.33102438657</v>
      </c>
      <c r="H3448" s="8">
        <v>44461.0</v>
      </c>
    </row>
    <row r="3449">
      <c r="A3449" s="2">
        <v>0.26</v>
      </c>
      <c r="B3449" s="2">
        <v>230.8</v>
      </c>
      <c r="C3449" s="2">
        <v>3.3</v>
      </c>
      <c r="D3449" s="2">
        <v>2.83</v>
      </c>
      <c r="E3449" s="2">
        <v>0.06</v>
      </c>
      <c r="F3449" s="2">
        <v>49.9</v>
      </c>
      <c r="G3449" s="4">
        <v>44461.331131643514</v>
      </c>
      <c r="H3449" s="8">
        <v>44461.0</v>
      </c>
    </row>
    <row r="3450">
      <c r="A3450" s="2">
        <v>0.26</v>
      </c>
      <c r="B3450" s="2">
        <v>230.8</v>
      </c>
      <c r="C3450" s="2">
        <v>3.5</v>
      </c>
      <c r="D3450" s="2">
        <v>2.83</v>
      </c>
      <c r="E3450" s="2">
        <v>0.06</v>
      </c>
      <c r="F3450" s="2">
        <v>50.0</v>
      </c>
      <c r="G3450" s="4">
        <v>44461.331238645835</v>
      </c>
      <c r="H3450" s="8">
        <v>44461.0</v>
      </c>
    </row>
    <row r="3451">
      <c r="A3451" s="2">
        <v>0.28</v>
      </c>
      <c r="B3451" s="2">
        <v>230.7</v>
      </c>
      <c r="C3451" s="2">
        <v>8.6</v>
      </c>
      <c r="D3451" s="2">
        <v>2.83</v>
      </c>
      <c r="E3451" s="2">
        <v>0.13</v>
      </c>
      <c r="F3451" s="2">
        <v>50.0</v>
      </c>
      <c r="G3451" s="4">
        <v>44461.33134503472</v>
      </c>
      <c r="H3451" s="8">
        <v>44461.0</v>
      </c>
    </row>
    <row r="3452">
      <c r="A3452" s="2">
        <v>0.28</v>
      </c>
      <c r="B3452" s="2">
        <v>230.9</v>
      </c>
      <c r="C3452" s="2">
        <v>8.3</v>
      </c>
      <c r="D3452" s="2">
        <v>2.83</v>
      </c>
      <c r="E3452" s="2">
        <v>0.13</v>
      </c>
      <c r="F3452" s="2">
        <v>50.0</v>
      </c>
      <c r="G3452" s="4">
        <v>44461.331459988425</v>
      </c>
      <c r="H3452" s="8">
        <v>44461.0</v>
      </c>
    </row>
    <row r="3453">
      <c r="A3453" s="2">
        <v>0.26</v>
      </c>
      <c r="B3453" s="2">
        <v>230.9</v>
      </c>
      <c r="C3453" s="2">
        <v>3.7</v>
      </c>
      <c r="D3453" s="2">
        <v>2.83</v>
      </c>
      <c r="E3453" s="2">
        <v>0.06</v>
      </c>
      <c r="F3453" s="2">
        <v>50.0</v>
      </c>
      <c r="G3453" s="4">
        <v>44461.33156774305</v>
      </c>
      <c r="H3453" s="8">
        <v>44461.0</v>
      </c>
    </row>
    <row r="3454">
      <c r="A3454" s="2">
        <v>0.26</v>
      </c>
      <c r="B3454" s="2">
        <v>230.9</v>
      </c>
      <c r="C3454" s="2">
        <v>3.7</v>
      </c>
      <c r="D3454" s="2">
        <v>2.83</v>
      </c>
      <c r="E3454" s="2">
        <v>0.06</v>
      </c>
      <c r="F3454" s="2">
        <v>50.0</v>
      </c>
      <c r="G3454" s="4">
        <v>44461.33167626157</v>
      </c>
      <c r="H3454" s="8">
        <v>44461.0</v>
      </c>
    </row>
    <row r="3455">
      <c r="A3455" s="2">
        <v>0.26</v>
      </c>
      <c r="B3455" s="2">
        <v>231.0</v>
      </c>
      <c r="C3455" s="2">
        <v>4.0</v>
      </c>
      <c r="D3455" s="2">
        <v>2.83</v>
      </c>
      <c r="E3455" s="2">
        <v>0.07</v>
      </c>
      <c r="F3455" s="2">
        <v>50.0</v>
      </c>
      <c r="G3455" s="4">
        <v>44461.331784050926</v>
      </c>
      <c r="H3455" s="8">
        <v>44461.0</v>
      </c>
    </row>
    <row r="3456">
      <c r="A3456" s="2">
        <v>0.29</v>
      </c>
      <c r="B3456" s="2">
        <v>230.7</v>
      </c>
      <c r="C3456" s="2">
        <v>9.9</v>
      </c>
      <c r="D3456" s="2">
        <v>2.83</v>
      </c>
      <c r="E3456" s="2">
        <v>0.15</v>
      </c>
      <c r="F3456" s="2">
        <v>50.0</v>
      </c>
      <c r="G3456" s="4">
        <v>44461.33189086805</v>
      </c>
      <c r="H3456" s="8">
        <v>44461.0</v>
      </c>
    </row>
    <row r="3457">
      <c r="A3457" s="2">
        <v>0.28</v>
      </c>
      <c r="B3457" s="2">
        <v>230.8</v>
      </c>
      <c r="C3457" s="2">
        <v>8.6</v>
      </c>
      <c r="D3457" s="2">
        <v>2.83</v>
      </c>
      <c r="E3457" s="2">
        <v>0.13</v>
      </c>
      <c r="F3457" s="2">
        <v>50.0</v>
      </c>
      <c r="G3457" s="4">
        <v>44461.33199528935</v>
      </c>
      <c r="H3457" s="8">
        <v>44461.0</v>
      </c>
    </row>
    <row r="3458">
      <c r="A3458" s="2">
        <v>0.27</v>
      </c>
      <c r="B3458" s="2">
        <v>230.9</v>
      </c>
      <c r="C3458" s="2">
        <v>6.6</v>
      </c>
      <c r="D3458" s="2">
        <v>2.83</v>
      </c>
      <c r="E3458" s="2">
        <v>0.11</v>
      </c>
      <c r="F3458" s="2">
        <v>50.0</v>
      </c>
      <c r="G3458" s="4">
        <v>44461.33211335648</v>
      </c>
      <c r="H3458" s="8">
        <v>44461.0</v>
      </c>
    </row>
    <row r="3459">
      <c r="A3459" s="2">
        <v>0.26</v>
      </c>
      <c r="B3459" s="2">
        <v>231.6</v>
      </c>
      <c r="C3459" s="2">
        <v>4.1</v>
      </c>
      <c r="D3459" s="2">
        <v>2.83</v>
      </c>
      <c r="E3459" s="2">
        <v>0.07</v>
      </c>
      <c r="F3459" s="2">
        <v>50.0</v>
      </c>
      <c r="G3459" s="4">
        <v>44461.33221811343</v>
      </c>
      <c r="H3459" s="8">
        <v>44461.0</v>
      </c>
    </row>
    <row r="3460">
      <c r="A3460" s="2">
        <v>0.26</v>
      </c>
      <c r="B3460" s="2">
        <v>231.6</v>
      </c>
      <c r="C3460" s="2">
        <v>4.3</v>
      </c>
      <c r="D3460" s="2">
        <v>2.83</v>
      </c>
      <c r="E3460" s="2">
        <v>0.07</v>
      </c>
      <c r="F3460" s="2">
        <v>50.0</v>
      </c>
      <c r="G3460" s="4">
        <v>44461.33232357639</v>
      </c>
      <c r="H3460" s="8">
        <v>44461.0</v>
      </c>
    </row>
    <row r="3461">
      <c r="A3461" s="2">
        <v>0.27</v>
      </c>
      <c r="B3461" s="2">
        <v>231.5</v>
      </c>
      <c r="C3461" s="2">
        <v>7.3</v>
      </c>
      <c r="D3461" s="2">
        <v>2.83</v>
      </c>
      <c r="E3461" s="2">
        <v>0.12</v>
      </c>
      <c r="F3461" s="2">
        <v>50.0</v>
      </c>
      <c r="G3461" s="4">
        <v>44461.33245284722</v>
      </c>
      <c r="H3461" s="8">
        <v>44461.0</v>
      </c>
    </row>
    <row r="3462">
      <c r="A3462" s="2">
        <v>0.26</v>
      </c>
      <c r="B3462" s="2">
        <v>231.5</v>
      </c>
      <c r="C3462" s="2">
        <v>3.5</v>
      </c>
      <c r="D3462" s="2">
        <v>2.83</v>
      </c>
      <c r="E3462" s="2">
        <v>0.06</v>
      </c>
      <c r="F3462" s="2">
        <v>50.0</v>
      </c>
      <c r="G3462" s="4">
        <v>44461.33255766204</v>
      </c>
      <c r="H3462" s="8">
        <v>44461.0</v>
      </c>
    </row>
    <row r="3463">
      <c r="A3463" s="2">
        <v>0.26</v>
      </c>
      <c r="B3463" s="2">
        <v>231.7</v>
      </c>
      <c r="C3463" s="2">
        <v>3.5</v>
      </c>
      <c r="D3463" s="2">
        <v>2.83</v>
      </c>
      <c r="E3463" s="2">
        <v>0.06</v>
      </c>
      <c r="F3463" s="2">
        <v>50.0</v>
      </c>
      <c r="G3463" s="4">
        <v>44461.332665740745</v>
      </c>
      <c r="H3463" s="8">
        <v>44461.0</v>
      </c>
    </row>
    <row r="3464">
      <c r="A3464" s="2">
        <v>0.27</v>
      </c>
      <c r="B3464" s="2">
        <v>231.5</v>
      </c>
      <c r="C3464" s="2">
        <v>5.0</v>
      </c>
      <c r="D3464" s="2">
        <v>2.83</v>
      </c>
      <c r="E3464" s="2">
        <v>0.08</v>
      </c>
      <c r="F3464" s="2">
        <v>50.0</v>
      </c>
      <c r="G3464" s="4">
        <v>44461.33277620371</v>
      </c>
      <c r="H3464" s="8">
        <v>44461.0</v>
      </c>
    </row>
    <row r="3465">
      <c r="A3465" s="2">
        <v>0.28</v>
      </c>
      <c r="B3465" s="2">
        <v>231.4</v>
      </c>
      <c r="C3465" s="2">
        <v>8.7</v>
      </c>
      <c r="D3465" s="2">
        <v>2.83</v>
      </c>
      <c r="E3465" s="2">
        <v>0.13</v>
      </c>
      <c r="F3465" s="2">
        <v>49.9</v>
      </c>
      <c r="G3465" s="4">
        <v>44461.3328869213</v>
      </c>
      <c r="H3465" s="8">
        <v>44461.0</v>
      </c>
    </row>
    <row r="3466">
      <c r="A3466" s="2">
        <v>0.26</v>
      </c>
      <c r="B3466" s="2">
        <v>231.3</v>
      </c>
      <c r="C3466" s="2">
        <v>4.3</v>
      </c>
      <c r="D3466" s="2">
        <v>2.83</v>
      </c>
      <c r="E3466" s="2">
        <v>0.07</v>
      </c>
      <c r="F3466" s="2">
        <v>49.9</v>
      </c>
      <c r="G3466" s="4">
        <v>44461.33299568287</v>
      </c>
      <c r="H3466" s="8">
        <v>44461.0</v>
      </c>
    </row>
    <row r="3467">
      <c r="A3467" s="2">
        <v>0.26</v>
      </c>
      <c r="B3467" s="2">
        <v>231.1</v>
      </c>
      <c r="C3467" s="2">
        <v>3.1</v>
      </c>
      <c r="D3467" s="2">
        <v>2.83</v>
      </c>
      <c r="E3467" s="2">
        <v>0.05</v>
      </c>
      <c r="F3467" s="2">
        <v>49.9</v>
      </c>
      <c r="G3467" s="4">
        <v>44461.33310428241</v>
      </c>
      <c r="H3467" s="8">
        <v>44461.0</v>
      </c>
    </row>
    <row r="3468">
      <c r="A3468" s="2">
        <v>0.27</v>
      </c>
      <c r="B3468" s="2">
        <v>231.3</v>
      </c>
      <c r="C3468" s="2">
        <v>5.4</v>
      </c>
      <c r="D3468" s="2">
        <v>2.83</v>
      </c>
      <c r="E3468" s="2">
        <v>0.09</v>
      </c>
      <c r="F3468" s="2">
        <v>49.9</v>
      </c>
      <c r="G3468" s="4">
        <v>44461.33321399306</v>
      </c>
      <c r="H3468" s="8">
        <v>44461.0</v>
      </c>
    </row>
    <row r="3469">
      <c r="A3469" s="2">
        <v>0.27</v>
      </c>
      <c r="B3469" s="2">
        <v>231.1</v>
      </c>
      <c r="C3469" s="2">
        <v>5.9</v>
      </c>
      <c r="D3469" s="2">
        <v>2.83</v>
      </c>
      <c r="E3469" s="2">
        <v>0.09</v>
      </c>
      <c r="F3469" s="2">
        <v>50.0</v>
      </c>
      <c r="G3469" s="4">
        <v>44461.33332167824</v>
      </c>
      <c r="H3469" s="8">
        <v>44461.0</v>
      </c>
    </row>
    <row r="3470">
      <c r="A3470" s="2">
        <v>0.28</v>
      </c>
      <c r="B3470" s="2">
        <v>230.9</v>
      </c>
      <c r="C3470" s="2">
        <v>7.5</v>
      </c>
      <c r="D3470" s="2">
        <v>2.83</v>
      </c>
      <c r="E3470" s="2">
        <v>0.12</v>
      </c>
      <c r="F3470" s="2">
        <v>49.9</v>
      </c>
      <c r="G3470" s="4">
        <v>44461.33343046297</v>
      </c>
      <c r="H3470" s="8">
        <v>44461.0</v>
      </c>
    </row>
    <row r="3471">
      <c r="A3471" s="2">
        <v>0.26</v>
      </c>
      <c r="B3471" s="2">
        <v>230.9</v>
      </c>
      <c r="C3471" s="2">
        <v>3.6</v>
      </c>
      <c r="D3471" s="2">
        <v>2.83</v>
      </c>
      <c r="E3471" s="2">
        <v>0.06</v>
      </c>
      <c r="F3471" s="2">
        <v>50.0</v>
      </c>
      <c r="G3471" s="4">
        <v>44461.3335409375</v>
      </c>
      <c r="H3471" s="8">
        <v>44461.0</v>
      </c>
    </row>
    <row r="3472">
      <c r="A3472" s="2">
        <v>0.26</v>
      </c>
      <c r="B3472" s="2">
        <v>230.9</v>
      </c>
      <c r="C3472" s="2">
        <v>2.8</v>
      </c>
      <c r="D3472" s="2">
        <v>2.83</v>
      </c>
      <c r="E3472" s="2">
        <v>0.05</v>
      </c>
      <c r="F3472" s="2">
        <v>50.0</v>
      </c>
      <c r="G3472" s="4">
        <v>44461.333647210646</v>
      </c>
      <c r="H3472" s="8">
        <v>44461.0</v>
      </c>
    </row>
    <row r="3473">
      <c r="A3473" s="2">
        <v>0.26</v>
      </c>
      <c r="B3473" s="2">
        <v>230.9</v>
      </c>
      <c r="C3473" s="2">
        <v>4.3</v>
      </c>
      <c r="D3473" s="2">
        <v>2.83</v>
      </c>
      <c r="E3473" s="2">
        <v>0.07</v>
      </c>
      <c r="F3473" s="2">
        <v>50.0</v>
      </c>
      <c r="G3473" s="4">
        <v>44461.333754374995</v>
      </c>
      <c r="H3473" s="8">
        <v>44461.0</v>
      </c>
    </row>
    <row r="3474">
      <c r="A3474" s="2">
        <v>0.28</v>
      </c>
      <c r="B3474" s="2">
        <v>230.9</v>
      </c>
      <c r="C3474" s="2">
        <v>6.6</v>
      </c>
      <c r="D3474" s="2">
        <v>2.83</v>
      </c>
      <c r="E3474" s="2">
        <v>0.1</v>
      </c>
      <c r="F3474" s="2">
        <v>50.0</v>
      </c>
      <c r="G3474" s="4">
        <v>44461.33386501158</v>
      </c>
      <c r="H3474" s="8">
        <v>44461.0</v>
      </c>
    </row>
    <row r="3475">
      <c r="A3475" s="2">
        <v>0.29</v>
      </c>
      <c r="B3475" s="2">
        <v>231.1</v>
      </c>
      <c r="C3475" s="2">
        <v>9.2</v>
      </c>
      <c r="D3475" s="2">
        <v>2.83</v>
      </c>
      <c r="E3475" s="2">
        <v>0.14</v>
      </c>
      <c r="F3475" s="2">
        <v>50.0</v>
      </c>
      <c r="G3475" s="4">
        <v>44461.333973981484</v>
      </c>
      <c r="H3475" s="8">
        <v>44461.0</v>
      </c>
    </row>
    <row r="3476">
      <c r="A3476" s="2">
        <v>0.27</v>
      </c>
      <c r="B3476" s="2">
        <v>231.0</v>
      </c>
      <c r="C3476" s="2">
        <v>7.4</v>
      </c>
      <c r="D3476" s="2">
        <v>2.83</v>
      </c>
      <c r="E3476" s="2">
        <v>0.12</v>
      </c>
      <c r="F3476" s="2">
        <v>50.0</v>
      </c>
      <c r="G3476" s="4">
        <v>44461.33410277778</v>
      </c>
      <c r="H3476" s="8">
        <v>44461.0</v>
      </c>
    </row>
    <row r="3477">
      <c r="A3477" s="2">
        <v>0.27</v>
      </c>
      <c r="B3477" s="2">
        <v>230.9</v>
      </c>
      <c r="C3477" s="2">
        <v>5.4</v>
      </c>
      <c r="D3477" s="2">
        <v>2.83</v>
      </c>
      <c r="E3477" s="2">
        <v>0.09</v>
      </c>
      <c r="F3477" s="2">
        <v>50.0</v>
      </c>
      <c r="G3477" s="4">
        <v>44461.33421</v>
      </c>
      <c r="H3477" s="8">
        <v>44461.0</v>
      </c>
    </row>
    <row r="3478">
      <c r="A3478" s="2">
        <v>0.28</v>
      </c>
      <c r="B3478" s="2">
        <v>230.9</v>
      </c>
      <c r="C3478" s="2">
        <v>8.8</v>
      </c>
      <c r="D3478" s="2">
        <v>2.83</v>
      </c>
      <c r="E3478" s="2">
        <v>0.13</v>
      </c>
      <c r="F3478" s="2">
        <v>50.0</v>
      </c>
      <c r="G3478" s="4">
        <v>44461.33431763889</v>
      </c>
      <c r="H3478" s="8">
        <v>44461.0</v>
      </c>
    </row>
    <row r="3479">
      <c r="A3479" s="2">
        <v>0.26</v>
      </c>
      <c r="B3479" s="2">
        <v>231.0</v>
      </c>
      <c r="C3479" s="2">
        <v>3.1</v>
      </c>
      <c r="D3479" s="2">
        <v>2.83</v>
      </c>
      <c r="E3479" s="2">
        <v>0.05</v>
      </c>
      <c r="F3479" s="2">
        <v>50.0</v>
      </c>
      <c r="G3479" s="4">
        <v>44461.334423402775</v>
      </c>
      <c r="H3479" s="8">
        <v>44461.0</v>
      </c>
    </row>
    <row r="3480">
      <c r="A3480" s="2">
        <v>0.26</v>
      </c>
      <c r="B3480" s="2">
        <v>231.1</v>
      </c>
      <c r="C3480" s="2">
        <v>4.1</v>
      </c>
      <c r="D3480" s="2">
        <v>2.83</v>
      </c>
      <c r="E3480" s="2">
        <v>0.07</v>
      </c>
      <c r="F3480" s="2">
        <v>50.0</v>
      </c>
      <c r="G3480" s="4">
        <v>44461.33452880787</v>
      </c>
      <c r="H3480" s="8">
        <v>44461.0</v>
      </c>
    </row>
    <row r="3481">
      <c r="A3481" s="2">
        <v>0.26</v>
      </c>
      <c r="B3481" s="2">
        <v>231.2</v>
      </c>
      <c r="C3481" s="2">
        <v>3.3</v>
      </c>
      <c r="D3481" s="2">
        <v>2.83</v>
      </c>
      <c r="E3481" s="2">
        <v>0.05</v>
      </c>
      <c r="F3481" s="2">
        <v>50.0</v>
      </c>
      <c r="G3481" s="4">
        <v>44461.334640914356</v>
      </c>
      <c r="H3481" s="8">
        <v>44461.0</v>
      </c>
    </row>
    <row r="3482">
      <c r="A3482" s="2">
        <v>0.26</v>
      </c>
      <c r="B3482" s="2">
        <v>231.3</v>
      </c>
      <c r="C3482" s="2">
        <v>4.2</v>
      </c>
      <c r="D3482" s="2">
        <v>2.83</v>
      </c>
      <c r="E3482" s="2">
        <v>0.07</v>
      </c>
      <c r="F3482" s="2">
        <v>50.0</v>
      </c>
      <c r="G3482" s="4">
        <v>44461.33474091435</v>
      </c>
      <c r="H3482" s="8">
        <v>44461.0</v>
      </c>
    </row>
    <row r="3483">
      <c r="A3483" s="2">
        <v>0.27</v>
      </c>
      <c r="B3483" s="2">
        <v>231.2</v>
      </c>
      <c r="C3483" s="2">
        <v>5.3</v>
      </c>
      <c r="D3483" s="2">
        <v>2.83</v>
      </c>
      <c r="E3483" s="2">
        <v>0.09</v>
      </c>
      <c r="F3483" s="2">
        <v>50.0</v>
      </c>
      <c r="G3483" s="4">
        <v>44461.334841689815</v>
      </c>
      <c r="H3483" s="8">
        <v>44461.0</v>
      </c>
    </row>
    <row r="3484">
      <c r="A3484" s="2">
        <v>0.26</v>
      </c>
      <c r="B3484" s="2">
        <v>231.2</v>
      </c>
      <c r="C3484" s="2">
        <v>4.5</v>
      </c>
      <c r="D3484" s="2">
        <v>2.83</v>
      </c>
      <c r="E3484" s="2">
        <v>0.07</v>
      </c>
      <c r="F3484" s="2">
        <v>50.0</v>
      </c>
      <c r="G3484" s="4">
        <v>44461.33494528935</v>
      </c>
      <c r="H3484" s="8">
        <v>44461.0</v>
      </c>
    </row>
    <row r="3485">
      <c r="A3485" s="2">
        <v>0.28</v>
      </c>
      <c r="B3485" s="2">
        <v>230.9</v>
      </c>
      <c r="C3485" s="2">
        <v>6.4</v>
      </c>
      <c r="D3485" s="2">
        <v>2.83</v>
      </c>
      <c r="E3485" s="2">
        <v>0.1</v>
      </c>
      <c r="F3485" s="2">
        <v>50.0</v>
      </c>
      <c r="G3485" s="4">
        <v>44461.335052407405</v>
      </c>
      <c r="H3485" s="8">
        <v>44461.0</v>
      </c>
    </row>
    <row r="3486">
      <c r="A3486" s="2">
        <v>0.28</v>
      </c>
      <c r="B3486" s="2">
        <v>231.0</v>
      </c>
      <c r="C3486" s="2">
        <v>6.2</v>
      </c>
      <c r="D3486" s="2">
        <v>2.83</v>
      </c>
      <c r="E3486" s="2">
        <v>0.1</v>
      </c>
      <c r="F3486" s="2">
        <v>50.0</v>
      </c>
      <c r="G3486" s="4">
        <v>44461.33515621528</v>
      </c>
      <c r="H3486" s="8">
        <v>44461.0</v>
      </c>
    </row>
    <row r="3487">
      <c r="A3487" s="2">
        <v>0.28</v>
      </c>
      <c r="B3487" s="2">
        <v>230.9</v>
      </c>
      <c r="C3487" s="2">
        <v>7.8</v>
      </c>
      <c r="D3487" s="2">
        <v>2.83</v>
      </c>
      <c r="E3487" s="2">
        <v>0.12</v>
      </c>
      <c r="F3487" s="2">
        <v>50.0</v>
      </c>
      <c r="G3487" s="4">
        <v>44461.33526386574</v>
      </c>
      <c r="H3487" s="8">
        <v>44461.0</v>
      </c>
    </row>
    <row r="3488">
      <c r="A3488" s="2">
        <v>0.29</v>
      </c>
      <c r="B3488" s="2">
        <v>231.1</v>
      </c>
      <c r="C3488" s="2">
        <v>9.0</v>
      </c>
      <c r="D3488" s="2">
        <v>2.83</v>
      </c>
      <c r="E3488" s="2">
        <v>0.14</v>
      </c>
      <c r="F3488" s="2">
        <v>50.0</v>
      </c>
      <c r="G3488" s="4">
        <v>44461.33536678241</v>
      </c>
      <c r="H3488" s="8">
        <v>44461.0</v>
      </c>
    </row>
    <row r="3489">
      <c r="A3489" s="2">
        <v>0.28</v>
      </c>
      <c r="B3489" s="2">
        <v>230.9</v>
      </c>
      <c r="C3489" s="2">
        <v>9.2</v>
      </c>
      <c r="D3489" s="2">
        <v>2.83</v>
      </c>
      <c r="E3489" s="2">
        <v>0.14</v>
      </c>
      <c r="F3489" s="2">
        <v>50.0</v>
      </c>
      <c r="G3489" s="4">
        <v>44461.33547021991</v>
      </c>
      <c r="H3489" s="8">
        <v>44461.0</v>
      </c>
    </row>
    <row r="3490">
      <c r="A3490" s="2">
        <v>0.27</v>
      </c>
      <c r="B3490" s="2">
        <v>230.2</v>
      </c>
      <c r="C3490" s="2">
        <v>7.5</v>
      </c>
      <c r="D3490" s="2">
        <v>2.83</v>
      </c>
      <c r="E3490" s="2">
        <v>0.12</v>
      </c>
      <c r="F3490" s="2">
        <v>50.0</v>
      </c>
      <c r="G3490" s="4">
        <v>44461.335573275464</v>
      </c>
      <c r="H3490" s="8">
        <v>44461.0</v>
      </c>
    </row>
    <row r="3491">
      <c r="A3491" s="2">
        <v>0.26</v>
      </c>
      <c r="B3491" s="2">
        <v>230.0</v>
      </c>
      <c r="C3491" s="2">
        <v>5.0</v>
      </c>
      <c r="D3491" s="2">
        <v>2.83</v>
      </c>
      <c r="E3491" s="2">
        <v>0.08</v>
      </c>
      <c r="F3491" s="2">
        <v>50.0</v>
      </c>
      <c r="G3491" s="4">
        <v>44461.335680358796</v>
      </c>
      <c r="H3491" s="8">
        <v>44461.0</v>
      </c>
    </row>
    <row r="3492">
      <c r="A3492" s="2">
        <v>0.26</v>
      </c>
      <c r="B3492" s="2">
        <v>230.0</v>
      </c>
      <c r="C3492" s="2">
        <v>3.8</v>
      </c>
      <c r="D3492" s="2">
        <v>2.83</v>
      </c>
      <c r="E3492" s="2">
        <v>0.06</v>
      </c>
      <c r="F3492" s="2">
        <v>49.9</v>
      </c>
      <c r="G3492" s="4">
        <v>44461.33578689815</v>
      </c>
      <c r="H3492" s="8">
        <v>44461.0</v>
      </c>
    </row>
    <row r="3493">
      <c r="A3493" s="2">
        <v>0.26</v>
      </c>
      <c r="B3493" s="2">
        <v>229.2</v>
      </c>
      <c r="C3493" s="2">
        <v>5.1</v>
      </c>
      <c r="D3493" s="2">
        <v>2.83</v>
      </c>
      <c r="E3493" s="2">
        <v>0.08</v>
      </c>
      <c r="F3493" s="2">
        <v>49.9</v>
      </c>
      <c r="G3493" s="4">
        <v>44461.335901620376</v>
      </c>
      <c r="H3493" s="8">
        <v>44461.0</v>
      </c>
    </row>
    <row r="3494">
      <c r="A3494" s="2">
        <v>0.27</v>
      </c>
      <c r="B3494" s="2">
        <v>229.2</v>
      </c>
      <c r="C3494" s="2">
        <v>5.3</v>
      </c>
      <c r="D3494" s="2">
        <v>2.83</v>
      </c>
      <c r="E3494" s="2">
        <v>0.09</v>
      </c>
      <c r="F3494" s="2">
        <v>50.0</v>
      </c>
      <c r="G3494" s="4">
        <v>44461.336008425926</v>
      </c>
      <c r="H3494" s="8">
        <v>44461.0</v>
      </c>
    </row>
    <row r="3495">
      <c r="A3495" s="2">
        <v>0.26</v>
      </c>
      <c r="B3495" s="2">
        <v>229.1</v>
      </c>
      <c r="C3495" s="2">
        <v>6.0</v>
      </c>
      <c r="D3495" s="2">
        <v>2.83</v>
      </c>
      <c r="E3495" s="2">
        <v>0.1</v>
      </c>
      <c r="F3495" s="2">
        <v>50.0</v>
      </c>
      <c r="G3495" s="4">
        <v>44461.33611613426</v>
      </c>
      <c r="H3495" s="8">
        <v>44461.0</v>
      </c>
    </row>
    <row r="3496">
      <c r="A3496" s="2">
        <v>0.27</v>
      </c>
      <c r="B3496" s="2">
        <v>229.2</v>
      </c>
      <c r="C3496" s="2">
        <v>6.7</v>
      </c>
      <c r="D3496" s="2">
        <v>2.83</v>
      </c>
      <c r="E3496" s="2">
        <v>0.11</v>
      </c>
      <c r="F3496" s="2">
        <v>49.9</v>
      </c>
      <c r="G3496" s="4">
        <v>44461.3362240162</v>
      </c>
      <c r="H3496" s="8">
        <v>44461.0</v>
      </c>
    </row>
    <row r="3497">
      <c r="A3497" s="2">
        <v>0.26</v>
      </c>
      <c r="B3497" s="2">
        <v>229.6</v>
      </c>
      <c r="C3497" s="2">
        <v>4.4</v>
      </c>
      <c r="D3497" s="2">
        <v>2.83</v>
      </c>
      <c r="E3497" s="2">
        <v>0.07</v>
      </c>
      <c r="F3497" s="2">
        <v>49.9</v>
      </c>
      <c r="G3497" s="4">
        <v>44461.336332962965</v>
      </c>
      <c r="H3497" s="8">
        <v>44461.0</v>
      </c>
    </row>
    <row r="3498">
      <c r="A3498" s="2">
        <v>0.26</v>
      </c>
      <c r="B3498" s="2">
        <v>229.6</v>
      </c>
      <c r="C3498" s="2">
        <v>4.1</v>
      </c>
      <c r="D3498" s="2">
        <v>2.83</v>
      </c>
      <c r="E3498" s="2">
        <v>0.07</v>
      </c>
      <c r="F3498" s="2">
        <v>49.9</v>
      </c>
      <c r="G3498" s="4">
        <v>44461.33643981481</v>
      </c>
      <c r="H3498" s="8">
        <v>44461.0</v>
      </c>
    </row>
    <row r="3499">
      <c r="A3499" s="2">
        <v>0.26</v>
      </c>
      <c r="B3499" s="2">
        <v>229.7</v>
      </c>
      <c r="C3499" s="2">
        <v>4.3</v>
      </c>
      <c r="D3499" s="2">
        <v>2.83</v>
      </c>
      <c r="E3499" s="2">
        <v>0.07</v>
      </c>
      <c r="F3499" s="2">
        <v>50.0</v>
      </c>
      <c r="G3499" s="4">
        <v>44461.33655202546</v>
      </c>
      <c r="H3499" s="8">
        <v>44461.0</v>
      </c>
    </row>
    <row r="3500">
      <c r="A3500" s="2">
        <v>0.26</v>
      </c>
      <c r="B3500" s="2">
        <v>229.7</v>
      </c>
      <c r="C3500" s="2">
        <v>4.3</v>
      </c>
      <c r="D3500" s="2">
        <v>2.83</v>
      </c>
      <c r="E3500" s="2">
        <v>0.07</v>
      </c>
      <c r="F3500" s="2">
        <v>50.0</v>
      </c>
      <c r="G3500" s="4">
        <v>44461.33665909722</v>
      </c>
      <c r="H3500" s="8">
        <v>44461.0</v>
      </c>
    </row>
    <row r="3501">
      <c r="A3501" s="2">
        <v>0.27</v>
      </c>
      <c r="B3501" s="2">
        <v>229.6</v>
      </c>
      <c r="C3501" s="2">
        <v>7.0</v>
      </c>
      <c r="D3501" s="2">
        <v>2.83</v>
      </c>
      <c r="E3501" s="2">
        <v>0.11</v>
      </c>
      <c r="F3501" s="2">
        <v>50.0</v>
      </c>
      <c r="G3501" s="4">
        <v>44461.33676796296</v>
      </c>
      <c r="H3501" s="8">
        <v>44461.0</v>
      </c>
    </row>
    <row r="3502">
      <c r="A3502" s="2">
        <v>0.26</v>
      </c>
      <c r="B3502" s="2">
        <v>229.6</v>
      </c>
      <c r="C3502" s="2">
        <v>5.6</v>
      </c>
      <c r="D3502" s="2">
        <v>2.83</v>
      </c>
      <c r="E3502" s="2">
        <v>0.09</v>
      </c>
      <c r="F3502" s="2">
        <v>50.0</v>
      </c>
      <c r="G3502" s="4">
        <v>44461.33687283564</v>
      </c>
      <c r="H3502" s="8">
        <v>44461.0</v>
      </c>
    </row>
    <row r="3503">
      <c r="A3503" s="2">
        <v>0.26</v>
      </c>
      <c r="B3503" s="2">
        <v>231.6</v>
      </c>
      <c r="C3503" s="2">
        <v>3.7</v>
      </c>
      <c r="D3503" s="2">
        <v>2.83</v>
      </c>
      <c r="E3503" s="2">
        <v>0.06</v>
      </c>
      <c r="F3503" s="2">
        <v>50.0</v>
      </c>
      <c r="G3503" s="4">
        <v>44461.33698118056</v>
      </c>
      <c r="H3503" s="8">
        <v>44461.0</v>
      </c>
    </row>
    <row r="3504">
      <c r="A3504" s="2">
        <v>0.26</v>
      </c>
      <c r="B3504" s="2">
        <v>232.0</v>
      </c>
      <c r="C3504" s="2">
        <v>3.5</v>
      </c>
      <c r="D3504" s="2">
        <v>2.84</v>
      </c>
      <c r="E3504" s="2">
        <v>0.06</v>
      </c>
      <c r="F3504" s="2">
        <v>50.0</v>
      </c>
      <c r="G3504" s="4">
        <v>44461.33708967593</v>
      </c>
      <c r="H3504" s="8">
        <v>44461.0</v>
      </c>
    </row>
    <row r="3505">
      <c r="A3505" s="2">
        <v>0.28</v>
      </c>
      <c r="B3505" s="2">
        <v>232.1</v>
      </c>
      <c r="C3505" s="2">
        <v>8.0</v>
      </c>
      <c r="D3505" s="2">
        <v>2.84</v>
      </c>
      <c r="E3505" s="2">
        <v>0.12</v>
      </c>
      <c r="F3505" s="2">
        <v>50.0</v>
      </c>
      <c r="G3505" s="4">
        <v>44461.33719521991</v>
      </c>
      <c r="H3505" s="8">
        <v>44461.0</v>
      </c>
    </row>
    <row r="3506">
      <c r="A3506" s="2">
        <v>0.29</v>
      </c>
      <c r="B3506" s="2">
        <v>232.4</v>
      </c>
      <c r="C3506" s="2">
        <v>9.9</v>
      </c>
      <c r="D3506" s="2">
        <v>2.84</v>
      </c>
      <c r="E3506" s="2">
        <v>0.15</v>
      </c>
      <c r="F3506" s="2">
        <v>50.0</v>
      </c>
      <c r="G3506" s="4">
        <v>44461.337301990745</v>
      </c>
      <c r="H3506" s="8">
        <v>44461.0</v>
      </c>
    </row>
    <row r="3507">
      <c r="A3507" s="2">
        <v>0.26</v>
      </c>
      <c r="B3507" s="2">
        <v>232.4</v>
      </c>
      <c r="C3507" s="2">
        <v>4.9</v>
      </c>
      <c r="D3507" s="2">
        <v>2.84</v>
      </c>
      <c r="E3507" s="2">
        <v>0.08</v>
      </c>
      <c r="F3507" s="2">
        <v>50.0</v>
      </c>
      <c r="G3507" s="4">
        <v>44461.337407824074</v>
      </c>
      <c r="H3507" s="8">
        <v>44461.0</v>
      </c>
    </row>
    <row r="3508">
      <c r="A3508" s="2">
        <v>0.26</v>
      </c>
      <c r="B3508" s="2">
        <v>232.4</v>
      </c>
      <c r="C3508" s="2">
        <v>3.5</v>
      </c>
      <c r="D3508" s="2">
        <v>2.84</v>
      </c>
      <c r="E3508" s="2">
        <v>0.06</v>
      </c>
      <c r="F3508" s="2">
        <v>50.0</v>
      </c>
      <c r="G3508" s="4">
        <v>44461.33751791666</v>
      </c>
      <c r="H3508" s="8">
        <v>44461.0</v>
      </c>
    </row>
    <row r="3509">
      <c r="A3509" s="2">
        <v>0.26</v>
      </c>
      <c r="B3509" s="2">
        <v>232.2</v>
      </c>
      <c r="C3509" s="2">
        <v>3.8</v>
      </c>
      <c r="D3509" s="2">
        <v>2.84</v>
      </c>
      <c r="E3509" s="2">
        <v>0.06</v>
      </c>
      <c r="F3509" s="2">
        <v>50.0</v>
      </c>
      <c r="G3509" s="4">
        <v>44461.33762179398</v>
      </c>
      <c r="H3509" s="8">
        <v>44461.0</v>
      </c>
    </row>
    <row r="3510">
      <c r="A3510" s="2">
        <v>0.27</v>
      </c>
      <c r="B3510" s="2">
        <v>232.2</v>
      </c>
      <c r="C3510" s="2">
        <v>6.0</v>
      </c>
      <c r="D3510" s="2">
        <v>2.84</v>
      </c>
      <c r="E3510" s="2">
        <v>0.09</v>
      </c>
      <c r="F3510" s="2">
        <v>50.0</v>
      </c>
      <c r="G3510" s="4">
        <v>44461.337727673614</v>
      </c>
      <c r="H3510" s="8">
        <v>44461.0</v>
      </c>
    </row>
    <row r="3511">
      <c r="A3511" s="2">
        <v>0.29</v>
      </c>
      <c r="B3511" s="2">
        <v>232.0</v>
      </c>
      <c r="C3511" s="2">
        <v>9.3</v>
      </c>
      <c r="D3511" s="2">
        <v>2.84</v>
      </c>
      <c r="E3511" s="2">
        <v>0.14</v>
      </c>
      <c r="F3511" s="2">
        <v>49.9</v>
      </c>
      <c r="G3511" s="4">
        <v>44461.33783578704</v>
      </c>
      <c r="H3511" s="8">
        <v>44461.0</v>
      </c>
    </row>
    <row r="3512">
      <c r="A3512" s="2">
        <v>0.29</v>
      </c>
      <c r="B3512" s="2">
        <v>231.6</v>
      </c>
      <c r="C3512" s="2">
        <v>9.4</v>
      </c>
      <c r="D3512" s="2">
        <v>2.84</v>
      </c>
      <c r="E3512" s="2">
        <v>0.14</v>
      </c>
      <c r="F3512" s="2">
        <v>49.9</v>
      </c>
      <c r="G3512" s="4">
        <v>44461.33794846065</v>
      </c>
      <c r="H3512" s="8">
        <v>44461.0</v>
      </c>
    </row>
    <row r="3513">
      <c r="A3513" s="2">
        <v>0.26</v>
      </c>
      <c r="B3513" s="2">
        <v>231.8</v>
      </c>
      <c r="C3513" s="2">
        <v>3.6</v>
      </c>
      <c r="D3513" s="2">
        <v>2.84</v>
      </c>
      <c r="E3513" s="2">
        <v>0.06</v>
      </c>
      <c r="F3513" s="2">
        <v>49.9</v>
      </c>
      <c r="G3513" s="4">
        <v>44461.33806086806</v>
      </c>
      <c r="H3513" s="8">
        <v>44461.0</v>
      </c>
    </row>
    <row r="3514">
      <c r="A3514" s="2">
        <v>0.26</v>
      </c>
      <c r="B3514" s="2">
        <v>231.7</v>
      </c>
      <c r="C3514" s="2">
        <v>2.8</v>
      </c>
      <c r="D3514" s="2">
        <v>2.84</v>
      </c>
      <c r="E3514" s="2">
        <v>0.05</v>
      </c>
      <c r="F3514" s="2">
        <v>49.9</v>
      </c>
      <c r="G3514" s="4">
        <v>44461.3381691088</v>
      </c>
      <c r="H3514" s="8">
        <v>44461.0</v>
      </c>
    </row>
    <row r="3515">
      <c r="A3515" s="2">
        <v>0.26</v>
      </c>
      <c r="B3515" s="2">
        <v>231.8</v>
      </c>
      <c r="C3515" s="2">
        <v>3.4</v>
      </c>
      <c r="D3515" s="2">
        <v>2.84</v>
      </c>
      <c r="E3515" s="2">
        <v>0.06</v>
      </c>
      <c r="F3515" s="2">
        <v>49.9</v>
      </c>
      <c r="G3515" s="4">
        <v>44461.33827078703</v>
      </c>
      <c r="H3515" s="8">
        <v>44461.0</v>
      </c>
    </row>
    <row r="3516">
      <c r="A3516" s="2">
        <v>0.27</v>
      </c>
      <c r="B3516" s="2">
        <v>231.7</v>
      </c>
      <c r="C3516" s="2">
        <v>5.4</v>
      </c>
      <c r="D3516" s="2">
        <v>2.84</v>
      </c>
      <c r="E3516" s="2">
        <v>0.09</v>
      </c>
      <c r="F3516" s="2">
        <v>49.9</v>
      </c>
      <c r="G3516" s="4">
        <v>44461.33837871528</v>
      </c>
      <c r="H3516" s="8">
        <v>44461.0</v>
      </c>
    </row>
    <row r="3517">
      <c r="A3517" s="2">
        <v>0.28</v>
      </c>
      <c r="B3517" s="2">
        <v>231.5</v>
      </c>
      <c r="C3517" s="2">
        <v>8.4</v>
      </c>
      <c r="D3517" s="2">
        <v>2.84</v>
      </c>
      <c r="E3517" s="2">
        <v>0.13</v>
      </c>
      <c r="F3517" s="2">
        <v>49.9</v>
      </c>
      <c r="G3517" s="4">
        <v>44461.33849008102</v>
      </c>
      <c r="H3517" s="8">
        <v>44461.0</v>
      </c>
    </row>
    <row r="3518">
      <c r="A3518" s="2">
        <v>0.28</v>
      </c>
      <c r="B3518" s="2">
        <v>231.6</v>
      </c>
      <c r="C3518" s="2">
        <v>7.9</v>
      </c>
      <c r="D3518" s="2">
        <v>2.84</v>
      </c>
      <c r="E3518" s="2">
        <v>0.12</v>
      </c>
      <c r="F3518" s="2">
        <v>49.9</v>
      </c>
      <c r="G3518" s="4">
        <v>44461.33859516204</v>
      </c>
      <c r="H3518" s="8">
        <v>44461.0</v>
      </c>
    </row>
    <row r="3519">
      <c r="A3519" s="2">
        <v>0.26</v>
      </c>
      <c r="B3519" s="2">
        <v>231.5</v>
      </c>
      <c r="C3519" s="2">
        <v>4.2</v>
      </c>
      <c r="D3519" s="2">
        <v>2.84</v>
      </c>
      <c r="E3519" s="2">
        <v>0.07</v>
      </c>
      <c r="F3519" s="2">
        <v>49.9</v>
      </c>
      <c r="G3519" s="4">
        <v>44461.33869658565</v>
      </c>
      <c r="H3519" s="8">
        <v>44461.0</v>
      </c>
    </row>
    <row r="3520">
      <c r="A3520" s="2">
        <v>0.26</v>
      </c>
      <c r="B3520" s="2">
        <v>231.7</v>
      </c>
      <c r="C3520" s="2">
        <v>3.7</v>
      </c>
      <c r="D3520" s="2">
        <v>2.84</v>
      </c>
      <c r="E3520" s="2">
        <v>0.06</v>
      </c>
      <c r="F3520" s="2">
        <v>50.0</v>
      </c>
      <c r="G3520" s="4">
        <v>44461.33880479167</v>
      </c>
      <c r="H3520" s="8">
        <v>44461.0</v>
      </c>
    </row>
    <row r="3521">
      <c r="A3521" s="2">
        <v>0.26</v>
      </c>
      <c r="B3521" s="2">
        <v>231.7</v>
      </c>
      <c r="C3521" s="2">
        <v>4.2</v>
      </c>
      <c r="D3521" s="2">
        <v>2.84</v>
      </c>
      <c r="E3521" s="2">
        <v>0.07</v>
      </c>
      <c r="F3521" s="2">
        <v>50.0</v>
      </c>
      <c r="G3521" s="4">
        <v>44461.3389097801</v>
      </c>
      <c r="H3521" s="8">
        <v>44461.0</v>
      </c>
    </row>
    <row r="3522">
      <c r="A3522" s="2">
        <v>0.26</v>
      </c>
      <c r="B3522" s="2">
        <v>231.8</v>
      </c>
      <c r="C3522" s="2">
        <v>3.5</v>
      </c>
      <c r="D3522" s="2">
        <v>2.84</v>
      </c>
      <c r="E3522" s="2">
        <v>0.06</v>
      </c>
      <c r="F3522" s="2">
        <v>50.0</v>
      </c>
      <c r="G3522" s="4">
        <v>44461.339015324076</v>
      </c>
      <c r="H3522" s="8">
        <v>44461.0</v>
      </c>
    </row>
    <row r="3523">
      <c r="A3523" s="2">
        <v>0.28</v>
      </c>
      <c r="B3523" s="2">
        <v>231.7</v>
      </c>
      <c r="C3523" s="2">
        <v>6.2</v>
      </c>
      <c r="D3523" s="2">
        <v>2.84</v>
      </c>
      <c r="E3523" s="2">
        <v>0.1</v>
      </c>
      <c r="F3523" s="2">
        <v>50.0</v>
      </c>
      <c r="G3523" s="4">
        <v>44461.3391300463</v>
      </c>
      <c r="H3523" s="8">
        <v>44461.0</v>
      </c>
    </row>
    <row r="3524">
      <c r="A3524" s="2">
        <v>0.28</v>
      </c>
      <c r="B3524" s="2">
        <v>231.8</v>
      </c>
      <c r="C3524" s="2">
        <v>7.0</v>
      </c>
      <c r="D3524" s="2">
        <v>2.84</v>
      </c>
      <c r="E3524" s="2">
        <v>0.11</v>
      </c>
      <c r="F3524" s="2">
        <v>50.0</v>
      </c>
      <c r="G3524" s="4">
        <v>44461.339236134256</v>
      </c>
      <c r="H3524" s="8">
        <v>44461.0</v>
      </c>
    </row>
    <row r="3525">
      <c r="A3525" s="2">
        <v>0.28</v>
      </c>
      <c r="B3525" s="2">
        <v>231.9</v>
      </c>
      <c r="C3525" s="2">
        <v>8.5</v>
      </c>
      <c r="D3525" s="2">
        <v>2.84</v>
      </c>
      <c r="E3525" s="2">
        <v>0.13</v>
      </c>
      <c r="F3525" s="2">
        <v>50.0</v>
      </c>
      <c r="G3525" s="4">
        <v>44461.33934078703</v>
      </c>
      <c r="H3525" s="8">
        <v>44461.0</v>
      </c>
    </row>
    <row r="3526">
      <c r="A3526" s="2">
        <v>0.26</v>
      </c>
      <c r="B3526" s="2">
        <v>231.9</v>
      </c>
      <c r="C3526" s="2">
        <v>4.2</v>
      </c>
      <c r="D3526" s="2">
        <v>2.84</v>
      </c>
      <c r="E3526" s="2">
        <v>0.07</v>
      </c>
      <c r="F3526" s="2">
        <v>50.0</v>
      </c>
      <c r="G3526" s="4">
        <v>44461.339447986116</v>
      </c>
      <c r="H3526" s="8">
        <v>44461.0</v>
      </c>
    </row>
    <row r="3527">
      <c r="A3527" s="2">
        <v>0.26</v>
      </c>
      <c r="B3527" s="2">
        <v>231.8</v>
      </c>
      <c r="C3527" s="2">
        <v>3.2</v>
      </c>
      <c r="D3527" s="2">
        <v>2.84</v>
      </c>
      <c r="E3527" s="2">
        <v>0.05</v>
      </c>
      <c r="F3527" s="2">
        <v>50.0</v>
      </c>
      <c r="G3527" s="4">
        <v>44461.33955715278</v>
      </c>
      <c r="H3527" s="8">
        <v>44461.0</v>
      </c>
    </row>
    <row r="3528">
      <c r="A3528" s="2">
        <v>0.26</v>
      </c>
      <c r="B3528" s="2">
        <v>231.9</v>
      </c>
      <c r="C3528" s="2">
        <v>3.5</v>
      </c>
      <c r="D3528" s="2">
        <v>2.84</v>
      </c>
      <c r="E3528" s="2">
        <v>0.06</v>
      </c>
      <c r="F3528" s="2">
        <v>50.0</v>
      </c>
      <c r="G3528" s="4">
        <v>44461.33966091435</v>
      </c>
      <c r="H3528" s="8">
        <v>44461.0</v>
      </c>
    </row>
    <row r="3529">
      <c r="A3529" s="2">
        <v>0.26</v>
      </c>
      <c r="B3529" s="2">
        <v>231.7</v>
      </c>
      <c r="C3529" s="2">
        <v>3.8</v>
      </c>
      <c r="D3529" s="2">
        <v>2.84</v>
      </c>
      <c r="E3529" s="2">
        <v>0.06</v>
      </c>
      <c r="F3529" s="2">
        <v>50.0</v>
      </c>
      <c r="G3529" s="4">
        <v>44461.33976510417</v>
      </c>
      <c r="H3529" s="8">
        <v>44461.0</v>
      </c>
    </row>
    <row r="3530">
      <c r="A3530" s="2">
        <v>0.27</v>
      </c>
      <c r="B3530" s="2">
        <v>231.6</v>
      </c>
      <c r="C3530" s="2">
        <v>5.4</v>
      </c>
      <c r="D3530" s="2">
        <v>2.84</v>
      </c>
      <c r="E3530" s="2">
        <v>0.09</v>
      </c>
      <c r="F3530" s="2">
        <v>49.9</v>
      </c>
      <c r="G3530" s="4">
        <v>44461.33987195602</v>
      </c>
      <c r="H3530" s="8">
        <v>44461.0</v>
      </c>
    </row>
    <row r="3531">
      <c r="A3531" s="2">
        <v>0.28</v>
      </c>
      <c r="B3531" s="2">
        <v>231.6</v>
      </c>
      <c r="C3531" s="2">
        <v>8.4</v>
      </c>
      <c r="D3531" s="2">
        <v>2.84</v>
      </c>
      <c r="E3531" s="2">
        <v>0.13</v>
      </c>
      <c r="F3531" s="2">
        <v>49.9</v>
      </c>
      <c r="G3531" s="4">
        <v>44461.339980543984</v>
      </c>
      <c r="H3531" s="8">
        <v>44461.0</v>
      </c>
    </row>
    <row r="3532">
      <c r="A3532" s="2">
        <v>0.27</v>
      </c>
      <c r="B3532" s="2">
        <v>231.3</v>
      </c>
      <c r="C3532" s="2">
        <v>7.0</v>
      </c>
      <c r="D3532" s="2">
        <v>2.84</v>
      </c>
      <c r="E3532" s="2">
        <v>0.11</v>
      </c>
      <c r="F3532" s="2">
        <v>49.9</v>
      </c>
      <c r="G3532" s="4">
        <v>44461.34009050926</v>
      </c>
      <c r="H3532" s="8">
        <v>44461.0</v>
      </c>
    </row>
    <row r="3533">
      <c r="A3533" s="2">
        <v>0.26</v>
      </c>
      <c r="B3533" s="2">
        <v>231.4</v>
      </c>
      <c r="C3533" s="2">
        <v>4.1</v>
      </c>
      <c r="D3533" s="2">
        <v>2.84</v>
      </c>
      <c r="E3533" s="2">
        <v>0.07</v>
      </c>
      <c r="F3533" s="2">
        <v>49.9</v>
      </c>
      <c r="G3533" s="4">
        <v>44461.34025365741</v>
      </c>
      <c r="H3533" s="8">
        <v>44461.0</v>
      </c>
    </row>
    <row r="3534">
      <c r="A3534" s="2">
        <v>0.28</v>
      </c>
      <c r="B3534" s="2">
        <v>231.4</v>
      </c>
      <c r="C3534" s="2">
        <v>7.3</v>
      </c>
      <c r="D3534" s="2">
        <v>2.84</v>
      </c>
      <c r="E3534" s="2">
        <v>0.11</v>
      </c>
      <c r="F3534" s="2">
        <v>50.0</v>
      </c>
      <c r="G3534" s="4">
        <v>44461.34037638889</v>
      </c>
      <c r="H3534" s="8">
        <v>44461.0</v>
      </c>
    </row>
    <row r="3535">
      <c r="A3535" s="2">
        <v>0.26</v>
      </c>
      <c r="B3535" s="2">
        <v>231.4</v>
      </c>
      <c r="C3535" s="2">
        <v>5.7</v>
      </c>
      <c r="D3535" s="2">
        <v>2.84</v>
      </c>
      <c r="E3535" s="2">
        <v>0.09</v>
      </c>
      <c r="F3535" s="2">
        <v>49.9</v>
      </c>
      <c r="G3535" s="4">
        <v>44461.340487615744</v>
      </c>
      <c r="H3535" s="8">
        <v>44461.0</v>
      </c>
    </row>
    <row r="3536">
      <c r="A3536" s="2">
        <v>0.26</v>
      </c>
      <c r="B3536" s="2">
        <v>230.9</v>
      </c>
      <c r="C3536" s="2">
        <v>4.3</v>
      </c>
      <c r="D3536" s="2">
        <v>2.84</v>
      </c>
      <c r="E3536" s="2">
        <v>0.07</v>
      </c>
      <c r="F3536" s="2">
        <v>49.9</v>
      </c>
      <c r="G3536" s="4">
        <v>44461.3405961574</v>
      </c>
      <c r="H3536" s="8">
        <v>44461.0</v>
      </c>
    </row>
    <row r="3537">
      <c r="A3537" s="2">
        <v>0.26</v>
      </c>
      <c r="B3537" s="2">
        <v>230.7</v>
      </c>
      <c r="C3537" s="2">
        <v>3.5</v>
      </c>
      <c r="D3537" s="2">
        <v>2.84</v>
      </c>
      <c r="E3537" s="2">
        <v>0.06</v>
      </c>
      <c r="F3537" s="2">
        <v>49.9</v>
      </c>
      <c r="G3537" s="4">
        <v>44461.34070318287</v>
      </c>
      <c r="H3537" s="8">
        <v>44461.0</v>
      </c>
    </row>
    <row r="3538">
      <c r="A3538" s="2">
        <v>0.27</v>
      </c>
      <c r="B3538" s="2">
        <v>230.8</v>
      </c>
      <c r="C3538" s="2">
        <v>5.9</v>
      </c>
      <c r="D3538" s="2">
        <v>2.84</v>
      </c>
      <c r="E3538" s="2">
        <v>0.09</v>
      </c>
      <c r="F3538" s="2">
        <v>49.9</v>
      </c>
      <c r="G3538" s="4">
        <v>44461.340812083334</v>
      </c>
      <c r="H3538" s="8">
        <v>44461.0</v>
      </c>
    </row>
    <row r="3539">
      <c r="A3539" s="2">
        <v>0.28</v>
      </c>
      <c r="B3539" s="2">
        <v>230.7</v>
      </c>
      <c r="C3539" s="2">
        <v>7.8</v>
      </c>
      <c r="D3539" s="2">
        <v>2.84</v>
      </c>
      <c r="E3539" s="2">
        <v>0.12</v>
      </c>
      <c r="F3539" s="2">
        <v>49.9</v>
      </c>
      <c r="G3539" s="4">
        <v>44461.34091915509</v>
      </c>
      <c r="H3539" s="8">
        <v>44461.0</v>
      </c>
    </row>
    <row r="3540">
      <c r="A3540" s="2">
        <v>0.28</v>
      </c>
      <c r="B3540" s="2">
        <v>230.9</v>
      </c>
      <c r="C3540" s="2">
        <v>9.2</v>
      </c>
      <c r="D3540" s="2">
        <v>2.84</v>
      </c>
      <c r="E3540" s="2">
        <v>0.14</v>
      </c>
      <c r="F3540" s="2">
        <v>49.9</v>
      </c>
      <c r="G3540" s="4">
        <v>44461.34103094907</v>
      </c>
      <c r="H3540" s="8">
        <v>44461.0</v>
      </c>
    </row>
    <row r="3541">
      <c r="A3541" s="2">
        <v>0.26</v>
      </c>
      <c r="B3541" s="2">
        <v>231.1</v>
      </c>
      <c r="C3541" s="2">
        <v>4.2</v>
      </c>
      <c r="D3541" s="2">
        <v>2.84</v>
      </c>
      <c r="E3541" s="2">
        <v>0.07</v>
      </c>
      <c r="F3541" s="2">
        <v>49.9</v>
      </c>
      <c r="G3541" s="4">
        <v>44461.34113570602</v>
      </c>
      <c r="H3541" s="8">
        <v>44461.0</v>
      </c>
    </row>
    <row r="3542">
      <c r="A3542" s="2">
        <v>0.28</v>
      </c>
      <c r="B3542" s="2">
        <v>230.7</v>
      </c>
      <c r="C3542" s="2">
        <v>8.6</v>
      </c>
      <c r="D3542" s="2">
        <v>2.84</v>
      </c>
      <c r="E3542" s="2">
        <v>0.13</v>
      </c>
      <c r="F3542" s="2">
        <v>49.9</v>
      </c>
      <c r="G3542" s="4">
        <v>44461.341293715275</v>
      </c>
      <c r="H3542" s="8">
        <v>44461.0</v>
      </c>
    </row>
    <row r="3543">
      <c r="A3543" s="2">
        <v>0.26</v>
      </c>
      <c r="B3543" s="2">
        <v>231.0</v>
      </c>
      <c r="C3543" s="2">
        <v>3.7</v>
      </c>
      <c r="D3543" s="2">
        <v>2.84</v>
      </c>
      <c r="E3543" s="2">
        <v>0.06</v>
      </c>
      <c r="F3543" s="2">
        <v>49.9</v>
      </c>
      <c r="G3543" s="4">
        <v>44461.34140063658</v>
      </c>
      <c r="H3543" s="8">
        <v>44461.0</v>
      </c>
    </row>
    <row r="3544">
      <c r="A3544" s="2">
        <v>0.29</v>
      </c>
      <c r="B3544" s="2">
        <v>230.8</v>
      </c>
      <c r="C3544" s="2">
        <v>9.4</v>
      </c>
      <c r="D3544" s="2">
        <v>2.84</v>
      </c>
      <c r="E3544" s="2">
        <v>0.14</v>
      </c>
      <c r="F3544" s="2">
        <v>50.0</v>
      </c>
      <c r="G3544" s="4">
        <v>44461.34150829861</v>
      </c>
      <c r="H3544" s="8">
        <v>44461.0</v>
      </c>
    </row>
    <row r="3545">
      <c r="A3545" s="2">
        <v>0.28</v>
      </c>
      <c r="B3545" s="2">
        <v>230.7</v>
      </c>
      <c r="C3545" s="2">
        <v>8.9</v>
      </c>
      <c r="D3545" s="2">
        <v>2.84</v>
      </c>
      <c r="E3545" s="2">
        <v>0.14</v>
      </c>
      <c r="F3545" s="2">
        <v>49.9</v>
      </c>
      <c r="G3545" s="4">
        <v>44461.34161559028</v>
      </c>
      <c r="H3545" s="8">
        <v>44461.0</v>
      </c>
    </row>
    <row r="3546">
      <c r="A3546" s="2">
        <v>0.28</v>
      </c>
      <c r="B3546" s="2">
        <v>230.8</v>
      </c>
      <c r="C3546" s="2">
        <v>9.9</v>
      </c>
      <c r="D3546" s="2">
        <v>2.84</v>
      </c>
      <c r="E3546" s="2">
        <v>0.15</v>
      </c>
      <c r="F3546" s="2">
        <v>49.9</v>
      </c>
      <c r="G3546" s="4">
        <v>44461.341722592595</v>
      </c>
      <c r="H3546" s="8">
        <v>44461.0</v>
      </c>
    </row>
    <row r="3547">
      <c r="A3547" s="2">
        <v>0.27</v>
      </c>
      <c r="B3547" s="2">
        <v>230.6</v>
      </c>
      <c r="C3547" s="2">
        <v>6.4</v>
      </c>
      <c r="D3547" s="2">
        <v>2.84</v>
      </c>
      <c r="E3547" s="2">
        <v>0.1</v>
      </c>
      <c r="F3547" s="2">
        <v>50.0</v>
      </c>
      <c r="G3547" s="4">
        <v>44461.34182724537</v>
      </c>
      <c r="H3547" s="8">
        <v>44461.0</v>
      </c>
    </row>
    <row r="3548">
      <c r="A3548" s="2">
        <v>0.26</v>
      </c>
      <c r="B3548" s="2">
        <v>230.9</v>
      </c>
      <c r="C3548" s="2">
        <v>5.3</v>
      </c>
      <c r="D3548" s="2">
        <v>2.84</v>
      </c>
      <c r="E3548" s="2">
        <v>0.09</v>
      </c>
      <c r="F3548" s="2">
        <v>50.0</v>
      </c>
      <c r="G3548" s="4">
        <v>44461.341931840274</v>
      </c>
      <c r="H3548" s="8">
        <v>44461.0</v>
      </c>
    </row>
    <row r="3549">
      <c r="A3549" s="2">
        <v>0.26</v>
      </c>
      <c r="B3549" s="2">
        <v>231.1</v>
      </c>
      <c r="C3549" s="2">
        <v>3.6</v>
      </c>
      <c r="D3549" s="2">
        <v>2.84</v>
      </c>
      <c r="E3549" s="2">
        <v>0.06</v>
      </c>
      <c r="F3549" s="2">
        <v>50.0</v>
      </c>
      <c r="G3549" s="4">
        <v>44461.34203837963</v>
      </c>
      <c r="H3549" s="8">
        <v>44461.0</v>
      </c>
    </row>
    <row r="3550">
      <c r="A3550" s="2">
        <v>0.26</v>
      </c>
      <c r="B3550" s="2">
        <v>231.0</v>
      </c>
      <c r="C3550" s="2">
        <v>2.8</v>
      </c>
      <c r="D3550" s="2">
        <v>2.84</v>
      </c>
      <c r="E3550" s="2">
        <v>0.05</v>
      </c>
      <c r="F3550" s="2">
        <v>50.0</v>
      </c>
      <c r="G3550" s="4">
        <v>44461.34214129629</v>
      </c>
      <c r="H3550" s="8">
        <v>44461.0</v>
      </c>
    </row>
    <row r="3551">
      <c r="A3551" s="2">
        <v>0.26</v>
      </c>
      <c r="B3551" s="2">
        <v>231.2</v>
      </c>
      <c r="C3551" s="2">
        <v>4.1</v>
      </c>
      <c r="D3551" s="2">
        <v>2.84</v>
      </c>
      <c r="E3551" s="2">
        <v>0.07</v>
      </c>
      <c r="F3551" s="2">
        <v>50.0</v>
      </c>
      <c r="G3551" s="4">
        <v>44461.34224084491</v>
      </c>
      <c r="H3551" s="8">
        <v>44461.0</v>
      </c>
    </row>
    <row r="3552">
      <c r="A3552" s="2">
        <v>0.27</v>
      </c>
      <c r="B3552" s="2">
        <v>229.0</v>
      </c>
      <c r="C3552" s="2">
        <v>5.2</v>
      </c>
      <c r="D3552" s="2">
        <v>2.84</v>
      </c>
      <c r="E3552" s="2">
        <v>0.08</v>
      </c>
      <c r="F3552" s="2">
        <v>50.0</v>
      </c>
      <c r="G3552" s="4">
        <v>44461.34234634259</v>
      </c>
      <c r="H3552" s="8">
        <v>44461.0</v>
      </c>
    </row>
    <row r="3553">
      <c r="A3553" s="2">
        <v>0.28</v>
      </c>
      <c r="B3553" s="2">
        <v>228.8</v>
      </c>
      <c r="C3553" s="2">
        <v>8.7</v>
      </c>
      <c r="D3553" s="2">
        <v>2.84</v>
      </c>
      <c r="E3553" s="2">
        <v>0.13</v>
      </c>
      <c r="F3553" s="2">
        <v>49.9</v>
      </c>
      <c r="G3553" s="4">
        <v>44461.34245577546</v>
      </c>
      <c r="H3553" s="8">
        <v>44461.0</v>
      </c>
    </row>
    <row r="3554">
      <c r="A3554" s="2">
        <v>0.27</v>
      </c>
      <c r="B3554" s="2">
        <v>228.6</v>
      </c>
      <c r="C3554" s="2">
        <v>5.0</v>
      </c>
      <c r="D3554" s="2">
        <v>2.84</v>
      </c>
      <c r="E3554" s="2">
        <v>0.08</v>
      </c>
      <c r="F3554" s="2">
        <v>49.9</v>
      </c>
      <c r="G3554" s="4">
        <v>44461.34256122685</v>
      </c>
      <c r="H3554" s="8">
        <v>44461.0</v>
      </c>
    </row>
    <row r="3555">
      <c r="A3555" s="2">
        <v>0.27</v>
      </c>
      <c r="B3555" s="2">
        <v>228.8</v>
      </c>
      <c r="C3555" s="2">
        <v>4.7</v>
      </c>
      <c r="D3555" s="2">
        <v>2.84</v>
      </c>
      <c r="E3555" s="2">
        <v>0.08</v>
      </c>
      <c r="F3555" s="2">
        <v>50.0</v>
      </c>
      <c r="G3555" s="4">
        <v>44461.34266711806</v>
      </c>
      <c r="H3555" s="8">
        <v>44461.0</v>
      </c>
    </row>
    <row r="3556">
      <c r="A3556" s="2">
        <v>0.26</v>
      </c>
      <c r="B3556" s="2">
        <v>228.9</v>
      </c>
      <c r="C3556" s="2">
        <v>3.0</v>
      </c>
      <c r="D3556" s="2">
        <v>2.84</v>
      </c>
      <c r="E3556" s="2">
        <v>0.05</v>
      </c>
      <c r="F3556" s="2">
        <v>49.9</v>
      </c>
      <c r="G3556" s="4">
        <v>44461.342772013886</v>
      </c>
      <c r="H3556" s="8">
        <v>44461.0</v>
      </c>
    </row>
    <row r="3557">
      <c r="A3557" s="2">
        <v>0.27</v>
      </c>
      <c r="B3557" s="2">
        <v>228.9</v>
      </c>
      <c r="C3557" s="2">
        <v>3.8</v>
      </c>
      <c r="D3557" s="2">
        <v>2.84</v>
      </c>
      <c r="E3557" s="2">
        <v>0.06</v>
      </c>
      <c r="F3557" s="2">
        <v>49.9</v>
      </c>
      <c r="G3557" s="4">
        <v>44461.34287877315</v>
      </c>
      <c r="H3557" s="8">
        <v>44461.0</v>
      </c>
    </row>
    <row r="3558">
      <c r="A3558" s="2">
        <v>0.28</v>
      </c>
      <c r="B3558" s="2">
        <v>229.1</v>
      </c>
      <c r="C3558" s="2">
        <v>6.2</v>
      </c>
      <c r="D3558" s="2">
        <v>2.84</v>
      </c>
      <c r="E3558" s="2">
        <v>0.1</v>
      </c>
      <c r="F3558" s="2">
        <v>50.0</v>
      </c>
      <c r="G3558" s="4">
        <v>44461.34298774306</v>
      </c>
      <c r="H3558" s="8">
        <v>44461.0</v>
      </c>
    </row>
    <row r="3559">
      <c r="A3559" s="2">
        <v>0.29</v>
      </c>
      <c r="B3559" s="2">
        <v>229.0</v>
      </c>
      <c r="C3559" s="2">
        <v>8.1</v>
      </c>
      <c r="D3559" s="2">
        <v>2.84</v>
      </c>
      <c r="E3559" s="2">
        <v>0.12</v>
      </c>
      <c r="F3559" s="2">
        <v>50.0</v>
      </c>
      <c r="G3559" s="4">
        <v>44461.34309743055</v>
      </c>
      <c r="H3559" s="8">
        <v>44461.0</v>
      </c>
    </row>
    <row r="3560">
      <c r="A3560" s="2">
        <v>0.29</v>
      </c>
      <c r="B3560" s="2">
        <v>229.0</v>
      </c>
      <c r="C3560" s="2">
        <v>9.9</v>
      </c>
      <c r="D3560" s="2">
        <v>2.84</v>
      </c>
      <c r="E3560" s="2">
        <v>0.15</v>
      </c>
      <c r="F3560" s="2">
        <v>50.0</v>
      </c>
      <c r="G3560" s="4">
        <v>44461.34320697917</v>
      </c>
      <c r="H3560" s="8">
        <v>44461.0</v>
      </c>
    </row>
    <row r="3561">
      <c r="A3561" s="2">
        <v>0.27</v>
      </c>
      <c r="B3561" s="2">
        <v>229.1</v>
      </c>
      <c r="C3561" s="2">
        <v>3.7</v>
      </c>
      <c r="D3561" s="2">
        <v>2.84</v>
      </c>
      <c r="E3561" s="2">
        <v>0.06</v>
      </c>
      <c r="F3561" s="2">
        <v>50.0</v>
      </c>
      <c r="G3561" s="4">
        <v>44461.343313460646</v>
      </c>
      <c r="H3561" s="8">
        <v>44461.0</v>
      </c>
    </row>
    <row r="3562">
      <c r="A3562" s="2">
        <v>0.26</v>
      </c>
      <c r="B3562" s="2">
        <v>230.7</v>
      </c>
      <c r="C3562" s="2">
        <v>3.4</v>
      </c>
      <c r="D3562" s="2">
        <v>2.84</v>
      </c>
      <c r="E3562" s="2">
        <v>0.06</v>
      </c>
      <c r="F3562" s="2">
        <v>50.0</v>
      </c>
      <c r="G3562" s="4">
        <v>44461.34342222223</v>
      </c>
      <c r="H3562" s="8">
        <v>44461.0</v>
      </c>
    </row>
    <row r="3563">
      <c r="A3563" s="2">
        <v>0.27</v>
      </c>
      <c r="B3563" s="2">
        <v>230.7</v>
      </c>
      <c r="C3563" s="2">
        <v>5.2</v>
      </c>
      <c r="D3563" s="2">
        <v>2.84</v>
      </c>
      <c r="E3563" s="2">
        <v>0.08</v>
      </c>
      <c r="F3563" s="2">
        <v>49.9</v>
      </c>
      <c r="G3563" s="4">
        <v>44461.34352572917</v>
      </c>
      <c r="H3563" s="8">
        <v>44461.0</v>
      </c>
    </row>
    <row r="3564">
      <c r="A3564" s="2">
        <v>0.27</v>
      </c>
      <c r="B3564" s="2">
        <v>230.5</v>
      </c>
      <c r="C3564" s="2">
        <v>5.5</v>
      </c>
      <c r="D3564" s="2">
        <v>2.84</v>
      </c>
      <c r="E3564" s="2">
        <v>0.09</v>
      </c>
      <c r="F3564" s="2">
        <v>49.9</v>
      </c>
      <c r="G3564" s="4">
        <v>44461.343638391205</v>
      </c>
      <c r="H3564" s="8">
        <v>44461.0</v>
      </c>
    </row>
    <row r="3565">
      <c r="A3565" s="2">
        <v>0.28</v>
      </c>
      <c r="B3565" s="2">
        <v>228.7</v>
      </c>
      <c r="C3565" s="2">
        <v>5.7</v>
      </c>
      <c r="D3565" s="2">
        <v>2.84</v>
      </c>
      <c r="E3565" s="2">
        <v>0.09</v>
      </c>
      <c r="F3565" s="2">
        <v>49.9</v>
      </c>
      <c r="G3565" s="4">
        <v>44461.343773217595</v>
      </c>
      <c r="H3565" s="8">
        <v>44461.0</v>
      </c>
    </row>
    <row r="3566">
      <c r="A3566" s="2">
        <v>0.28</v>
      </c>
      <c r="B3566" s="2">
        <v>229.0</v>
      </c>
      <c r="C3566" s="2">
        <v>7.1</v>
      </c>
      <c r="D3566" s="2">
        <v>2.84</v>
      </c>
      <c r="E3566" s="2">
        <v>0.11</v>
      </c>
      <c r="F3566" s="2">
        <v>50.0</v>
      </c>
      <c r="G3566" s="4">
        <v>44461.343879699074</v>
      </c>
      <c r="H3566" s="8">
        <v>44461.0</v>
      </c>
    </row>
    <row r="3567">
      <c r="A3567" s="2">
        <v>0.29</v>
      </c>
      <c r="B3567" s="2">
        <v>228.8</v>
      </c>
      <c r="C3567" s="2">
        <v>8.5</v>
      </c>
      <c r="D3567" s="2">
        <v>2.84</v>
      </c>
      <c r="E3567" s="2">
        <v>0.13</v>
      </c>
      <c r="F3567" s="2">
        <v>49.9</v>
      </c>
      <c r="G3567" s="4">
        <v>44461.343987361106</v>
      </c>
      <c r="H3567" s="8">
        <v>44461.0</v>
      </c>
    </row>
    <row r="3568">
      <c r="A3568" s="2">
        <v>0.28</v>
      </c>
      <c r="B3568" s="2">
        <v>228.9</v>
      </c>
      <c r="C3568" s="2">
        <v>8.6</v>
      </c>
      <c r="D3568" s="2">
        <v>2.84</v>
      </c>
      <c r="E3568" s="2">
        <v>0.13</v>
      </c>
      <c r="F3568" s="2">
        <v>49.9</v>
      </c>
      <c r="G3568" s="4">
        <v>44461.344095555556</v>
      </c>
      <c r="H3568" s="8">
        <v>44461.0</v>
      </c>
    </row>
    <row r="3569">
      <c r="A3569" s="2">
        <v>0.26</v>
      </c>
      <c r="B3569" s="2">
        <v>228.9</v>
      </c>
      <c r="C3569" s="2">
        <v>3.5</v>
      </c>
      <c r="D3569" s="2">
        <v>2.84</v>
      </c>
      <c r="E3569" s="2">
        <v>0.06</v>
      </c>
      <c r="F3569" s="2">
        <v>50.0</v>
      </c>
      <c r="G3569" s="4">
        <v>44461.34420665509</v>
      </c>
      <c r="H3569" s="8">
        <v>44461.0</v>
      </c>
    </row>
    <row r="3570">
      <c r="A3570" s="2">
        <v>0.26</v>
      </c>
      <c r="B3570" s="2">
        <v>230.5</v>
      </c>
      <c r="C3570" s="2">
        <v>4.0</v>
      </c>
      <c r="D3570" s="2">
        <v>2.84</v>
      </c>
      <c r="E3570" s="2">
        <v>0.07</v>
      </c>
      <c r="F3570" s="2">
        <v>49.9</v>
      </c>
      <c r="G3570" s="4">
        <v>44461.344314409725</v>
      </c>
      <c r="H3570" s="8">
        <v>44461.0</v>
      </c>
    </row>
    <row r="3571">
      <c r="A3571" s="2">
        <v>0.26</v>
      </c>
      <c r="B3571" s="2">
        <v>230.8</v>
      </c>
      <c r="C3571" s="2">
        <v>5.4</v>
      </c>
      <c r="D3571" s="2">
        <v>2.84</v>
      </c>
      <c r="E3571" s="2">
        <v>0.09</v>
      </c>
      <c r="F3571" s="2">
        <v>50.0</v>
      </c>
      <c r="G3571" s="4">
        <v>44461.34443921296</v>
      </c>
      <c r="H3571" s="8">
        <v>44461.0</v>
      </c>
    </row>
    <row r="3572">
      <c r="A3572" s="2">
        <v>0.26</v>
      </c>
      <c r="B3572" s="2">
        <v>230.7</v>
      </c>
      <c r="C3572" s="2">
        <v>4.0</v>
      </c>
      <c r="D3572" s="2">
        <v>2.84</v>
      </c>
      <c r="E3572" s="2">
        <v>0.07</v>
      </c>
      <c r="F3572" s="2">
        <v>50.0</v>
      </c>
      <c r="G3572" s="4">
        <v>44461.34454479167</v>
      </c>
      <c r="H3572" s="8">
        <v>44461.0</v>
      </c>
    </row>
    <row r="3573">
      <c r="A3573" s="2">
        <v>0.26</v>
      </c>
      <c r="B3573" s="2">
        <v>230.7</v>
      </c>
      <c r="C3573" s="2">
        <v>3.9</v>
      </c>
      <c r="D3573" s="2">
        <v>2.84</v>
      </c>
      <c r="E3573" s="2">
        <v>0.06</v>
      </c>
      <c r="F3573" s="2">
        <v>50.0</v>
      </c>
      <c r="G3573" s="4">
        <v>44461.344651238425</v>
      </c>
      <c r="H3573" s="8">
        <v>44461.0</v>
      </c>
    </row>
    <row r="3574">
      <c r="A3574" s="2">
        <v>0.26</v>
      </c>
      <c r="B3574" s="2">
        <v>230.8</v>
      </c>
      <c r="C3574" s="2">
        <v>3.0</v>
      </c>
      <c r="D3574" s="2">
        <v>2.84</v>
      </c>
      <c r="E3574" s="2">
        <v>0.05</v>
      </c>
      <c r="F3574" s="2">
        <v>50.0</v>
      </c>
      <c r="G3574" s="4">
        <v>44461.34475939815</v>
      </c>
      <c r="H3574" s="8">
        <v>44461.0</v>
      </c>
    </row>
    <row r="3575">
      <c r="A3575" s="2">
        <v>0.28</v>
      </c>
      <c r="B3575" s="2">
        <v>230.5</v>
      </c>
      <c r="C3575" s="2">
        <v>7.7</v>
      </c>
      <c r="D3575" s="2">
        <v>2.84</v>
      </c>
      <c r="E3575" s="2">
        <v>0.12</v>
      </c>
      <c r="F3575" s="2">
        <v>50.0</v>
      </c>
      <c r="G3575" s="4">
        <v>44461.34486791666</v>
      </c>
      <c r="H3575" s="8">
        <v>44461.0</v>
      </c>
    </row>
    <row r="3576">
      <c r="A3576" s="2">
        <v>0.28</v>
      </c>
      <c r="B3576" s="2">
        <v>230.8</v>
      </c>
      <c r="C3576" s="2">
        <v>8.8</v>
      </c>
      <c r="D3576" s="2">
        <v>2.84</v>
      </c>
      <c r="E3576" s="2">
        <v>0.13</v>
      </c>
      <c r="F3576" s="2">
        <v>50.0</v>
      </c>
      <c r="G3576" s="4">
        <v>44461.34497472222</v>
      </c>
      <c r="H3576" s="8">
        <v>44461.0</v>
      </c>
    </row>
    <row r="3577">
      <c r="A3577" s="2">
        <v>0.28</v>
      </c>
      <c r="B3577" s="2">
        <v>230.6</v>
      </c>
      <c r="C3577" s="2">
        <v>8.2</v>
      </c>
      <c r="D3577" s="2">
        <v>2.84</v>
      </c>
      <c r="E3577" s="2">
        <v>0.13</v>
      </c>
      <c r="F3577" s="2">
        <v>50.0</v>
      </c>
      <c r="G3577" s="4">
        <v>44461.34508020833</v>
      </c>
      <c r="H3577" s="8">
        <v>44461.0</v>
      </c>
    </row>
    <row r="3578">
      <c r="A3578" s="2">
        <v>0.27</v>
      </c>
      <c r="B3578" s="2">
        <v>230.7</v>
      </c>
      <c r="C3578" s="2">
        <v>6.1</v>
      </c>
      <c r="D3578" s="2">
        <v>2.84</v>
      </c>
      <c r="E3578" s="2">
        <v>0.1</v>
      </c>
      <c r="F3578" s="2">
        <v>50.0</v>
      </c>
      <c r="G3578" s="4">
        <v>44461.34518696759</v>
      </c>
      <c r="H3578" s="8">
        <v>44461.0</v>
      </c>
    </row>
    <row r="3579">
      <c r="A3579" s="2">
        <v>0.26</v>
      </c>
      <c r="B3579" s="2">
        <v>230.8</v>
      </c>
      <c r="C3579" s="2">
        <v>5.1</v>
      </c>
      <c r="D3579" s="2">
        <v>2.84</v>
      </c>
      <c r="E3579" s="2">
        <v>0.08</v>
      </c>
      <c r="F3579" s="2">
        <v>49.9</v>
      </c>
      <c r="G3579" s="4">
        <v>44461.345295810184</v>
      </c>
      <c r="H3579" s="8">
        <v>44461.0</v>
      </c>
    </row>
    <row r="3580">
      <c r="A3580" s="2">
        <v>0.27</v>
      </c>
      <c r="B3580" s="2">
        <v>230.5</v>
      </c>
      <c r="C3580" s="2">
        <v>5.0</v>
      </c>
      <c r="D3580" s="2">
        <v>2.84</v>
      </c>
      <c r="E3580" s="2">
        <v>0.08</v>
      </c>
      <c r="F3580" s="2">
        <v>49.9</v>
      </c>
      <c r="G3580" s="4">
        <v>44461.34540644676</v>
      </c>
      <c r="H3580" s="8">
        <v>44461.0</v>
      </c>
    </row>
    <row r="3581">
      <c r="A3581" s="2">
        <v>0.26</v>
      </c>
      <c r="B3581" s="2">
        <v>230.7</v>
      </c>
      <c r="C3581" s="2">
        <v>4.3</v>
      </c>
      <c r="D3581" s="2">
        <v>2.84</v>
      </c>
      <c r="E3581" s="2">
        <v>0.07</v>
      </c>
      <c r="F3581" s="2">
        <v>49.9</v>
      </c>
      <c r="G3581" s="4">
        <v>44461.34551399306</v>
      </c>
      <c r="H3581" s="8">
        <v>44461.0</v>
      </c>
    </row>
    <row r="3582">
      <c r="A3582" s="2">
        <v>0.28</v>
      </c>
      <c r="B3582" s="2">
        <v>230.5</v>
      </c>
      <c r="C3582" s="2">
        <v>6.9</v>
      </c>
      <c r="D3582" s="2">
        <v>2.84</v>
      </c>
      <c r="E3582" s="2">
        <v>0.11</v>
      </c>
      <c r="F3582" s="2">
        <v>49.9</v>
      </c>
      <c r="G3582" s="4">
        <v>44461.345622824076</v>
      </c>
      <c r="H3582" s="8">
        <v>44461.0</v>
      </c>
    </row>
    <row r="3583">
      <c r="A3583" s="2">
        <v>0.26</v>
      </c>
      <c r="B3583" s="2">
        <v>230.5</v>
      </c>
      <c r="C3583" s="2">
        <v>4.9</v>
      </c>
      <c r="D3583" s="2">
        <v>2.84</v>
      </c>
      <c r="E3583" s="2">
        <v>0.08</v>
      </c>
      <c r="F3583" s="2">
        <v>49.9</v>
      </c>
      <c r="G3583" s="4">
        <v>44461.34573008102</v>
      </c>
      <c r="H3583" s="8">
        <v>44461.0</v>
      </c>
    </row>
    <row r="3584">
      <c r="A3584" s="2">
        <v>0.26</v>
      </c>
      <c r="B3584" s="2">
        <v>230.8</v>
      </c>
      <c r="C3584" s="2">
        <v>4.7</v>
      </c>
      <c r="D3584" s="2">
        <v>2.84</v>
      </c>
      <c r="E3584" s="2">
        <v>0.08</v>
      </c>
      <c r="F3584" s="2">
        <v>49.9</v>
      </c>
      <c r="G3584" s="4">
        <v>44461.345837326386</v>
      </c>
      <c r="H3584" s="8">
        <v>44461.0</v>
      </c>
    </row>
    <row r="3585">
      <c r="A3585" s="2">
        <v>0.26</v>
      </c>
      <c r="B3585" s="2">
        <v>230.6</v>
      </c>
      <c r="C3585" s="2">
        <v>4.4</v>
      </c>
      <c r="D3585" s="2">
        <v>2.84</v>
      </c>
      <c r="E3585" s="2">
        <v>0.07</v>
      </c>
      <c r="F3585" s="2">
        <v>49.9</v>
      </c>
      <c r="G3585" s="4">
        <v>44461.34594547453</v>
      </c>
      <c r="H3585" s="8">
        <v>44461.0</v>
      </c>
    </row>
    <row r="3586">
      <c r="A3586" s="2">
        <v>0.27</v>
      </c>
      <c r="B3586" s="2">
        <v>230.8</v>
      </c>
      <c r="C3586" s="2">
        <v>5.2</v>
      </c>
      <c r="D3586" s="2">
        <v>2.84</v>
      </c>
      <c r="E3586" s="2">
        <v>0.08</v>
      </c>
      <c r="F3586" s="2">
        <v>49.9</v>
      </c>
      <c r="G3586" s="4">
        <v>44461.34605248843</v>
      </c>
      <c r="H3586" s="8">
        <v>44461.0</v>
      </c>
    </row>
    <row r="3587">
      <c r="A3587" s="2">
        <v>0.27</v>
      </c>
      <c r="B3587" s="2">
        <v>230.3</v>
      </c>
      <c r="C3587" s="2">
        <v>5.3</v>
      </c>
      <c r="D3587" s="2">
        <v>2.84</v>
      </c>
      <c r="E3587" s="2">
        <v>0.09</v>
      </c>
      <c r="F3587" s="2">
        <v>50.0</v>
      </c>
      <c r="G3587" s="4">
        <v>44461.346161249996</v>
      </c>
      <c r="H3587" s="8">
        <v>44461.0</v>
      </c>
    </row>
    <row r="3588">
      <c r="A3588" s="2">
        <v>0.28</v>
      </c>
      <c r="B3588" s="2">
        <v>230.3</v>
      </c>
      <c r="C3588" s="2">
        <v>7.0</v>
      </c>
      <c r="D3588" s="2">
        <v>2.84</v>
      </c>
      <c r="E3588" s="2">
        <v>0.11</v>
      </c>
      <c r="F3588" s="2">
        <v>49.9</v>
      </c>
      <c r="G3588" s="4">
        <v>44461.346267326386</v>
      </c>
      <c r="H3588" s="8">
        <v>44461.0</v>
      </c>
    </row>
    <row r="3589">
      <c r="A3589" s="2">
        <v>0.28</v>
      </c>
      <c r="B3589" s="2">
        <v>230.8</v>
      </c>
      <c r="C3589" s="2">
        <v>7.8</v>
      </c>
      <c r="D3589" s="2">
        <v>2.84</v>
      </c>
      <c r="E3589" s="2">
        <v>0.12</v>
      </c>
      <c r="F3589" s="2">
        <v>49.9</v>
      </c>
      <c r="G3589" s="4">
        <v>44461.346373506945</v>
      </c>
      <c r="H3589" s="8">
        <v>44461.0</v>
      </c>
    </row>
    <row r="3590">
      <c r="A3590" s="2">
        <v>0.26</v>
      </c>
      <c r="B3590" s="2">
        <v>230.7</v>
      </c>
      <c r="C3590" s="2">
        <v>3.2</v>
      </c>
      <c r="D3590" s="2">
        <v>2.84</v>
      </c>
      <c r="E3590" s="2">
        <v>0.05</v>
      </c>
      <c r="F3590" s="2">
        <v>49.9</v>
      </c>
      <c r="G3590" s="4">
        <v>44461.34648501157</v>
      </c>
      <c r="H3590" s="8">
        <v>44461.0</v>
      </c>
    </row>
    <row r="3591">
      <c r="A3591" s="2">
        <v>0.26</v>
      </c>
      <c r="B3591" s="2">
        <v>230.5</v>
      </c>
      <c r="C3591" s="2">
        <v>4.1</v>
      </c>
      <c r="D3591" s="2">
        <v>2.84</v>
      </c>
      <c r="E3591" s="2">
        <v>0.07</v>
      </c>
      <c r="F3591" s="2">
        <v>49.9</v>
      </c>
      <c r="G3591" s="4">
        <v>44461.34658783565</v>
      </c>
      <c r="H3591" s="8">
        <v>44461.0</v>
      </c>
    </row>
    <row r="3592">
      <c r="A3592" s="2">
        <v>0.26</v>
      </c>
      <c r="B3592" s="2">
        <v>230.3</v>
      </c>
      <c r="C3592" s="2">
        <v>3.9</v>
      </c>
      <c r="D3592" s="2">
        <v>2.84</v>
      </c>
      <c r="E3592" s="2">
        <v>0.07</v>
      </c>
      <c r="F3592" s="2">
        <v>49.9</v>
      </c>
      <c r="G3592" s="4">
        <v>44461.346692974534</v>
      </c>
      <c r="H3592" s="8">
        <v>44461.0</v>
      </c>
    </row>
    <row r="3593">
      <c r="A3593" s="2">
        <v>0.26</v>
      </c>
      <c r="B3593" s="2">
        <v>230.5</v>
      </c>
      <c r="C3593" s="2">
        <v>3.9</v>
      </c>
      <c r="D3593" s="2">
        <v>2.84</v>
      </c>
      <c r="E3593" s="2">
        <v>0.06</v>
      </c>
      <c r="F3593" s="2">
        <v>49.9</v>
      </c>
      <c r="G3593" s="4">
        <v>44461.34679927083</v>
      </c>
      <c r="H3593" s="8">
        <v>44461.0</v>
      </c>
    </row>
    <row r="3594">
      <c r="A3594" s="2">
        <v>0.27</v>
      </c>
      <c r="B3594" s="2">
        <v>230.5</v>
      </c>
      <c r="C3594" s="2">
        <v>5.6</v>
      </c>
      <c r="D3594" s="2">
        <v>2.84</v>
      </c>
      <c r="E3594" s="2">
        <v>0.09</v>
      </c>
      <c r="F3594" s="2">
        <v>50.0</v>
      </c>
      <c r="G3594" s="4">
        <v>44461.34690841435</v>
      </c>
      <c r="H3594" s="8">
        <v>44461.0</v>
      </c>
    </row>
    <row r="3595">
      <c r="A3595" s="2">
        <v>0.28</v>
      </c>
      <c r="B3595" s="2">
        <v>230.6</v>
      </c>
      <c r="C3595" s="2">
        <v>6.7</v>
      </c>
      <c r="D3595" s="2">
        <v>2.84</v>
      </c>
      <c r="E3595" s="2">
        <v>0.1</v>
      </c>
      <c r="F3595" s="2">
        <v>50.0</v>
      </c>
      <c r="G3595" s="4">
        <v>44461.3470155324</v>
      </c>
      <c r="H3595" s="8">
        <v>44461.0</v>
      </c>
    </row>
    <row r="3596">
      <c r="A3596" s="2">
        <v>0.27</v>
      </c>
      <c r="B3596" s="2">
        <v>230.5</v>
      </c>
      <c r="C3596" s="2">
        <v>6.8</v>
      </c>
      <c r="D3596" s="2">
        <v>2.84</v>
      </c>
      <c r="E3596" s="2">
        <v>0.11</v>
      </c>
      <c r="F3596" s="2">
        <v>49.9</v>
      </c>
      <c r="G3596" s="4">
        <v>44461.3471255787</v>
      </c>
      <c r="H3596" s="8">
        <v>44461.0</v>
      </c>
    </row>
    <row r="3597">
      <c r="A3597" s="2">
        <v>0.26</v>
      </c>
      <c r="B3597" s="2">
        <v>230.4</v>
      </c>
      <c r="C3597" s="2">
        <v>3.8</v>
      </c>
      <c r="D3597" s="2">
        <v>2.84</v>
      </c>
      <c r="E3597" s="2">
        <v>0.06</v>
      </c>
      <c r="F3597" s="2">
        <v>50.0</v>
      </c>
      <c r="G3597" s="4">
        <v>44461.34723168981</v>
      </c>
      <c r="H3597" s="8">
        <v>44461.0</v>
      </c>
    </row>
    <row r="3598">
      <c r="A3598" s="2">
        <v>0.26</v>
      </c>
      <c r="B3598" s="2">
        <v>231.3</v>
      </c>
      <c r="C3598" s="2">
        <v>3.0</v>
      </c>
      <c r="D3598" s="2">
        <v>2.84</v>
      </c>
      <c r="E3598" s="2">
        <v>0.05</v>
      </c>
      <c r="F3598" s="2">
        <v>50.0</v>
      </c>
      <c r="G3598" s="4">
        <v>44461.347340057866</v>
      </c>
      <c r="H3598" s="8">
        <v>44461.0</v>
      </c>
    </row>
    <row r="3599">
      <c r="A3599" s="2">
        <v>0.27</v>
      </c>
      <c r="B3599" s="2">
        <v>231.3</v>
      </c>
      <c r="C3599" s="2">
        <v>5.1</v>
      </c>
      <c r="D3599" s="2">
        <v>2.84</v>
      </c>
      <c r="E3599" s="2">
        <v>0.08</v>
      </c>
      <c r="F3599" s="2">
        <v>50.0</v>
      </c>
      <c r="G3599" s="4">
        <v>44461.347451724534</v>
      </c>
      <c r="H3599" s="8">
        <v>44461.0</v>
      </c>
    </row>
    <row r="3600">
      <c r="A3600" s="2">
        <v>0.27</v>
      </c>
      <c r="B3600" s="2">
        <v>231.0</v>
      </c>
      <c r="C3600" s="2">
        <v>5.9</v>
      </c>
      <c r="D3600" s="2">
        <v>2.84</v>
      </c>
      <c r="E3600" s="2">
        <v>0.09</v>
      </c>
      <c r="F3600" s="2">
        <v>50.0</v>
      </c>
      <c r="G3600" s="4">
        <v>44461.34756005787</v>
      </c>
      <c r="H3600" s="8">
        <v>44461.0</v>
      </c>
    </row>
    <row r="3601">
      <c r="A3601" s="2">
        <v>0.28</v>
      </c>
      <c r="B3601" s="2">
        <v>231.3</v>
      </c>
      <c r="C3601" s="2">
        <v>7.2</v>
      </c>
      <c r="D3601" s="2">
        <v>2.84</v>
      </c>
      <c r="E3601" s="2">
        <v>0.11</v>
      </c>
      <c r="F3601" s="2">
        <v>50.0</v>
      </c>
      <c r="G3601" s="4">
        <v>44461.34766462963</v>
      </c>
      <c r="H3601" s="8">
        <v>44461.0</v>
      </c>
    </row>
    <row r="3602">
      <c r="A3602" s="2">
        <v>0.26</v>
      </c>
      <c r="B3602" s="2">
        <v>231.3</v>
      </c>
      <c r="C3602" s="2">
        <v>4.1</v>
      </c>
      <c r="D3602" s="2">
        <v>2.84</v>
      </c>
      <c r="E3602" s="2">
        <v>0.07</v>
      </c>
      <c r="F3602" s="2">
        <v>50.0</v>
      </c>
      <c r="G3602" s="4">
        <v>44461.34777554398</v>
      </c>
      <c r="H3602" s="8">
        <v>44461.0</v>
      </c>
    </row>
    <row r="3603">
      <c r="A3603" s="2">
        <v>0.26</v>
      </c>
      <c r="B3603" s="2">
        <v>231.2</v>
      </c>
      <c r="C3603" s="2">
        <v>3.8</v>
      </c>
      <c r="D3603" s="2">
        <v>2.84</v>
      </c>
      <c r="E3603" s="2">
        <v>0.06</v>
      </c>
      <c r="F3603" s="2">
        <v>50.0</v>
      </c>
      <c r="G3603" s="4">
        <v>44461.34788239583</v>
      </c>
      <c r="H3603" s="8">
        <v>44461.0</v>
      </c>
    </row>
    <row r="3604">
      <c r="A3604" s="2">
        <v>0.26</v>
      </c>
      <c r="B3604" s="2">
        <v>231.2</v>
      </c>
      <c r="C3604" s="2">
        <v>3.6</v>
      </c>
      <c r="D3604" s="2">
        <v>2.84</v>
      </c>
      <c r="E3604" s="2">
        <v>0.06</v>
      </c>
      <c r="F3604" s="2">
        <v>50.0</v>
      </c>
      <c r="G3604" s="4">
        <v>44461.34798423611</v>
      </c>
      <c r="H3604" s="8">
        <v>44461.0</v>
      </c>
    </row>
    <row r="3605">
      <c r="A3605" s="2">
        <v>0.26</v>
      </c>
      <c r="B3605" s="2">
        <v>231.0</v>
      </c>
      <c r="C3605" s="2">
        <v>3.1</v>
      </c>
      <c r="D3605" s="2">
        <v>2.84</v>
      </c>
      <c r="E3605" s="2">
        <v>0.05</v>
      </c>
      <c r="F3605" s="2">
        <v>49.9</v>
      </c>
      <c r="G3605" s="4">
        <v>44461.34808753472</v>
      </c>
      <c r="H3605" s="8">
        <v>44461.0</v>
      </c>
    </row>
    <row r="3606">
      <c r="A3606" s="2">
        <v>0.26</v>
      </c>
      <c r="B3606" s="2">
        <v>230.8</v>
      </c>
      <c r="C3606" s="2">
        <v>4.5</v>
      </c>
      <c r="D3606" s="2">
        <v>2.84</v>
      </c>
      <c r="E3606" s="2">
        <v>0.07</v>
      </c>
      <c r="F3606" s="2">
        <v>49.9</v>
      </c>
      <c r="G3606" s="4">
        <v>44461.34819344907</v>
      </c>
      <c r="H3606" s="8">
        <v>44461.0</v>
      </c>
    </row>
    <row r="3607">
      <c r="A3607" s="2">
        <v>0.26</v>
      </c>
      <c r="B3607" s="2">
        <v>230.7</v>
      </c>
      <c r="C3607" s="2">
        <v>4.0</v>
      </c>
      <c r="D3607" s="2">
        <v>2.84</v>
      </c>
      <c r="E3607" s="2">
        <v>0.07</v>
      </c>
      <c r="F3607" s="2">
        <v>49.9</v>
      </c>
      <c r="G3607" s="4">
        <v>44461.34829736111</v>
      </c>
      <c r="H3607" s="8">
        <v>44461.0</v>
      </c>
    </row>
    <row r="3608">
      <c r="A3608" s="2">
        <v>0.27</v>
      </c>
      <c r="B3608" s="2">
        <v>230.9</v>
      </c>
      <c r="C3608" s="2">
        <v>5.9</v>
      </c>
      <c r="D3608" s="2">
        <v>2.84</v>
      </c>
      <c r="E3608" s="2">
        <v>0.09</v>
      </c>
      <c r="F3608" s="2">
        <v>49.9</v>
      </c>
      <c r="G3608" s="4">
        <v>44461.34840503472</v>
      </c>
      <c r="H3608" s="8">
        <v>44461.0</v>
      </c>
    </row>
    <row r="3609">
      <c r="A3609" s="2">
        <v>0.28</v>
      </c>
      <c r="B3609" s="2">
        <v>230.6</v>
      </c>
      <c r="C3609" s="2">
        <v>7.9</v>
      </c>
      <c r="D3609" s="2">
        <v>2.84</v>
      </c>
      <c r="E3609" s="2">
        <v>0.12</v>
      </c>
      <c r="F3609" s="2">
        <v>49.9</v>
      </c>
      <c r="G3609" s="4">
        <v>44461.348511331016</v>
      </c>
      <c r="H3609" s="8">
        <v>44461.0</v>
      </c>
    </row>
    <row r="3610">
      <c r="A3610" s="2">
        <v>0.26</v>
      </c>
      <c r="B3610" s="2">
        <v>230.6</v>
      </c>
      <c r="C3610" s="2">
        <v>4.5</v>
      </c>
      <c r="D3610" s="2">
        <v>2.84</v>
      </c>
      <c r="E3610" s="2">
        <v>0.07</v>
      </c>
      <c r="F3610" s="2">
        <v>49.9</v>
      </c>
      <c r="G3610" s="4">
        <v>44461.348617916665</v>
      </c>
      <c r="H3610" s="8">
        <v>44461.0</v>
      </c>
    </row>
    <row r="3611">
      <c r="A3611" s="2">
        <v>0.26</v>
      </c>
      <c r="B3611" s="2">
        <v>230.6</v>
      </c>
      <c r="C3611" s="2">
        <v>4.0</v>
      </c>
      <c r="D3611" s="2">
        <v>2.84</v>
      </c>
      <c r="E3611" s="2">
        <v>0.07</v>
      </c>
      <c r="F3611" s="2">
        <v>49.9</v>
      </c>
      <c r="G3611" s="4">
        <v>44461.34872944445</v>
      </c>
      <c r="H3611" s="8">
        <v>44461.0</v>
      </c>
    </row>
    <row r="3612">
      <c r="A3612" s="2">
        <v>0.26</v>
      </c>
      <c r="B3612" s="2">
        <v>230.6</v>
      </c>
      <c r="C3612" s="2">
        <v>3.5</v>
      </c>
      <c r="D3612" s="2">
        <v>2.84</v>
      </c>
      <c r="E3612" s="2">
        <v>0.06</v>
      </c>
      <c r="F3612" s="2">
        <v>49.9</v>
      </c>
      <c r="G3612" s="4">
        <v>44461.34883505787</v>
      </c>
      <c r="H3612" s="8">
        <v>44461.0</v>
      </c>
    </row>
    <row r="3613">
      <c r="A3613" s="2">
        <v>0.26</v>
      </c>
      <c r="B3613" s="2">
        <v>230.6</v>
      </c>
      <c r="C3613" s="2">
        <v>3.7</v>
      </c>
      <c r="D3613" s="2">
        <v>2.84</v>
      </c>
      <c r="E3613" s="2">
        <v>0.06</v>
      </c>
      <c r="F3613" s="2">
        <v>50.0</v>
      </c>
      <c r="G3613" s="4">
        <v>44461.34894106482</v>
      </c>
      <c r="H3613" s="8">
        <v>44461.0</v>
      </c>
    </row>
    <row r="3614">
      <c r="A3614" s="2">
        <v>0.28</v>
      </c>
      <c r="B3614" s="2">
        <v>230.8</v>
      </c>
      <c r="C3614" s="2">
        <v>7.8</v>
      </c>
      <c r="D3614" s="2">
        <v>2.84</v>
      </c>
      <c r="E3614" s="2">
        <v>0.12</v>
      </c>
      <c r="F3614" s="2">
        <v>50.0</v>
      </c>
      <c r="G3614" s="4">
        <v>44461.34904528935</v>
      </c>
      <c r="H3614" s="8">
        <v>44461.0</v>
      </c>
    </row>
    <row r="3615">
      <c r="G3615" s="4"/>
      <c r="H3615" s="4"/>
    </row>
    <row r="3616">
      <c r="G3616" s="4"/>
      <c r="H3616" s="4"/>
    </row>
    <row r="3617">
      <c r="G3617" s="4"/>
      <c r="H3617" s="4"/>
    </row>
    <row r="3618">
      <c r="G3618" s="4"/>
      <c r="H3618" s="4"/>
    </row>
    <row r="3619">
      <c r="G3619" s="4"/>
      <c r="H3619" s="4"/>
    </row>
    <row r="3620">
      <c r="G3620" s="4"/>
      <c r="H3620" s="4"/>
    </row>
    <row r="3621">
      <c r="G3621" s="4"/>
      <c r="H3621" s="4"/>
    </row>
    <row r="3622">
      <c r="G3622" s="4"/>
      <c r="H3622" s="4"/>
    </row>
    <row r="3623">
      <c r="G3623" s="4"/>
      <c r="H3623" s="4"/>
    </row>
    <row r="3624">
      <c r="G3624" s="4"/>
      <c r="H3624" s="4"/>
    </row>
    <row r="3625">
      <c r="G3625" s="4"/>
      <c r="H3625" s="4"/>
    </row>
    <row r="3626">
      <c r="G3626" s="4"/>
      <c r="H3626" s="4"/>
    </row>
    <row r="3627">
      <c r="G3627" s="4"/>
      <c r="H3627" s="4"/>
    </row>
    <row r="3628">
      <c r="G3628" s="4"/>
      <c r="H3628" s="4"/>
    </row>
    <row r="3629">
      <c r="G3629" s="4"/>
      <c r="H3629" s="4"/>
    </row>
    <row r="3630">
      <c r="G3630" s="4"/>
      <c r="H3630" s="4"/>
    </row>
    <row r="3631">
      <c r="G3631" s="4"/>
      <c r="H3631" s="4"/>
    </row>
    <row r="3632">
      <c r="G3632" s="4"/>
      <c r="H3632" s="4"/>
    </row>
    <row r="3633">
      <c r="G3633" s="4"/>
      <c r="H3633" s="4"/>
    </row>
    <row r="3634">
      <c r="G3634" s="4"/>
      <c r="H3634" s="4"/>
    </row>
    <row r="3635">
      <c r="G3635" s="4"/>
      <c r="H3635" s="4"/>
    </row>
    <row r="3636">
      <c r="G3636" s="4"/>
      <c r="H3636" s="4"/>
    </row>
    <row r="3637">
      <c r="G3637" s="4"/>
      <c r="H3637" s="4"/>
    </row>
    <row r="3638">
      <c r="G3638" s="4"/>
      <c r="H3638" s="4"/>
    </row>
    <row r="3639">
      <c r="A3639" s="2"/>
      <c r="B3639" s="2"/>
      <c r="C3639" s="2"/>
      <c r="D3639" s="2"/>
      <c r="E3639" s="2"/>
      <c r="F3639" s="2"/>
      <c r="G3639" s="4"/>
      <c r="H3639" s="4"/>
    </row>
    <row r="3640">
      <c r="A3640" s="2"/>
      <c r="B3640" s="2"/>
      <c r="C3640" s="2"/>
      <c r="D3640" s="2"/>
      <c r="E3640" s="2"/>
      <c r="F3640" s="2"/>
      <c r="G3640" s="4"/>
      <c r="H3640" s="4"/>
    </row>
    <row r="3641">
      <c r="A3641" s="2"/>
      <c r="B3641" s="2"/>
      <c r="C3641" s="2"/>
      <c r="D3641" s="2"/>
      <c r="E3641" s="2"/>
      <c r="F3641" s="2"/>
      <c r="G3641" s="4"/>
      <c r="H3641" s="4"/>
    </row>
    <row r="3642">
      <c r="A3642" s="2"/>
      <c r="B3642" s="2"/>
      <c r="C3642" s="2"/>
      <c r="D3642" s="2"/>
      <c r="E3642" s="2"/>
      <c r="F3642" s="2"/>
      <c r="G3642" s="4"/>
      <c r="H3642" s="4"/>
    </row>
    <row r="3643">
      <c r="A3643" s="2"/>
      <c r="B3643" s="2"/>
      <c r="C3643" s="2"/>
      <c r="D3643" s="2"/>
      <c r="E3643" s="2"/>
      <c r="F3643" s="2"/>
      <c r="G3643" s="4"/>
      <c r="H3643" s="4"/>
    </row>
    <row r="3644">
      <c r="A3644" s="2"/>
      <c r="B3644" s="2"/>
      <c r="C3644" s="2"/>
      <c r="D3644" s="2"/>
      <c r="E3644" s="2"/>
      <c r="F3644" s="2"/>
      <c r="G3644" s="4"/>
      <c r="H3644" s="4"/>
    </row>
    <row r="3645">
      <c r="A3645" s="2"/>
      <c r="B3645" s="2"/>
      <c r="C3645" s="2"/>
      <c r="D3645" s="2"/>
      <c r="E3645" s="2"/>
      <c r="F3645" s="2"/>
      <c r="G3645" s="4"/>
      <c r="H3645" s="4"/>
    </row>
    <row r="3646">
      <c r="A3646" s="2"/>
      <c r="B3646" s="2"/>
      <c r="C3646" s="2"/>
      <c r="D3646" s="2"/>
      <c r="E3646" s="2"/>
      <c r="F3646" s="2"/>
      <c r="G3646" s="4"/>
      <c r="H3646" s="4"/>
    </row>
    <row r="3647">
      <c r="A3647" s="2"/>
      <c r="B3647" s="2"/>
      <c r="C3647" s="2"/>
      <c r="D3647" s="2"/>
      <c r="E3647" s="2"/>
      <c r="F3647" s="2"/>
      <c r="G3647" s="4"/>
      <c r="H3647" s="4"/>
    </row>
    <row r="3648">
      <c r="A3648" s="2"/>
      <c r="B3648" s="2"/>
      <c r="C3648" s="2"/>
      <c r="D3648" s="2"/>
      <c r="E3648" s="2"/>
      <c r="F3648" s="2"/>
      <c r="G3648" s="4"/>
      <c r="H3648" s="4"/>
    </row>
    <row r="3649">
      <c r="A3649" s="2"/>
      <c r="B3649" s="2"/>
      <c r="C3649" s="2"/>
      <c r="D3649" s="2"/>
      <c r="E3649" s="2"/>
      <c r="F3649" s="2"/>
      <c r="G3649" s="4"/>
      <c r="H3649" s="4"/>
    </row>
    <row r="3650">
      <c r="A3650" s="2"/>
      <c r="B3650" s="2"/>
      <c r="C3650" s="2"/>
      <c r="D3650" s="2"/>
      <c r="E3650" s="2"/>
      <c r="F3650" s="2"/>
      <c r="G3650" s="4"/>
      <c r="H3650" s="4"/>
    </row>
    <row r="3651">
      <c r="A3651" s="2"/>
      <c r="B3651" s="2"/>
      <c r="C3651" s="2"/>
      <c r="D3651" s="2"/>
      <c r="E3651" s="2"/>
      <c r="F3651" s="2"/>
      <c r="G3651" s="4"/>
      <c r="H3651" s="4"/>
    </row>
    <row r="3652">
      <c r="A3652" s="2"/>
      <c r="B3652" s="2"/>
      <c r="C3652" s="2"/>
      <c r="D3652" s="2"/>
      <c r="E3652" s="2"/>
      <c r="F3652" s="2"/>
      <c r="G3652" s="4"/>
      <c r="H3652" s="4"/>
    </row>
    <row r="3653">
      <c r="A3653" s="2"/>
      <c r="B3653" s="2"/>
      <c r="C3653" s="2"/>
      <c r="D3653" s="2"/>
      <c r="E3653" s="2"/>
      <c r="F3653" s="2"/>
      <c r="G3653" s="4"/>
      <c r="H3653" s="4"/>
    </row>
    <row r="3654">
      <c r="A3654" s="2"/>
      <c r="B3654" s="2"/>
      <c r="C3654" s="2"/>
      <c r="D3654" s="2"/>
      <c r="E3654" s="2"/>
      <c r="F3654" s="2"/>
      <c r="G3654" s="4"/>
      <c r="H3654" s="4"/>
    </row>
    <row r="3655">
      <c r="A3655" s="2"/>
      <c r="B3655" s="2"/>
      <c r="C3655" s="2"/>
      <c r="D3655" s="2"/>
      <c r="E3655" s="2"/>
      <c r="F3655" s="2"/>
      <c r="G3655" s="4"/>
      <c r="H3655" s="4"/>
    </row>
    <row r="3656">
      <c r="A3656" s="2"/>
      <c r="B3656" s="2"/>
      <c r="C3656" s="2"/>
      <c r="D3656" s="2"/>
      <c r="E3656" s="2"/>
      <c r="F3656" s="2"/>
      <c r="G3656" s="4"/>
      <c r="H3656" s="4"/>
    </row>
    <row r="3657">
      <c r="A3657" s="2"/>
      <c r="B3657" s="2"/>
      <c r="C3657" s="2"/>
      <c r="D3657" s="2"/>
      <c r="E3657" s="2"/>
      <c r="F3657" s="2"/>
      <c r="G3657" s="4"/>
      <c r="H3657" s="4"/>
    </row>
    <row r="3658">
      <c r="A3658" s="2"/>
      <c r="B3658" s="2"/>
      <c r="C3658" s="2"/>
      <c r="D3658" s="2"/>
      <c r="E3658" s="2"/>
      <c r="F3658" s="2"/>
      <c r="G3658" s="4"/>
      <c r="H3658" s="4"/>
    </row>
    <row r="3659">
      <c r="A3659" s="2"/>
      <c r="B3659" s="2"/>
      <c r="C3659" s="2"/>
      <c r="D3659" s="2"/>
      <c r="E3659" s="2"/>
      <c r="F3659" s="2"/>
      <c r="G3659" s="4"/>
      <c r="H3659" s="4"/>
    </row>
    <row r="3660">
      <c r="A3660" s="2"/>
      <c r="B3660" s="2"/>
      <c r="C3660" s="2"/>
      <c r="D3660" s="2"/>
      <c r="E3660" s="2"/>
      <c r="F3660" s="2"/>
      <c r="G3660" s="4"/>
      <c r="H3660" s="4"/>
    </row>
    <row r="3661">
      <c r="A3661" s="2"/>
      <c r="B3661" s="2"/>
      <c r="C3661" s="2"/>
      <c r="D3661" s="2"/>
      <c r="E3661" s="2"/>
      <c r="F3661" s="2"/>
      <c r="G3661" s="4"/>
      <c r="H3661" s="4"/>
    </row>
    <row r="3662">
      <c r="A3662" s="2"/>
      <c r="B3662" s="2"/>
      <c r="C3662" s="2"/>
      <c r="D3662" s="2"/>
      <c r="E3662" s="2"/>
      <c r="F3662" s="2"/>
      <c r="G3662" s="4"/>
      <c r="H3662" s="4"/>
    </row>
    <row r="3663">
      <c r="A3663" s="2"/>
      <c r="B3663" s="2"/>
      <c r="C3663" s="2"/>
      <c r="D3663" s="2"/>
      <c r="E3663" s="2"/>
      <c r="F3663" s="2"/>
      <c r="G3663" s="4"/>
      <c r="H3663" s="4"/>
    </row>
    <row r="3664">
      <c r="A3664" s="2"/>
      <c r="B3664" s="2"/>
      <c r="C3664" s="2"/>
      <c r="D3664" s="2"/>
      <c r="E3664" s="2"/>
      <c r="F3664" s="2"/>
      <c r="G3664" s="4"/>
      <c r="H3664" s="4"/>
    </row>
    <row r="3665">
      <c r="A3665" s="2"/>
      <c r="B3665" s="2"/>
      <c r="C3665" s="2"/>
      <c r="D3665" s="2"/>
      <c r="E3665" s="2"/>
      <c r="F3665" s="2"/>
      <c r="G3665" s="4"/>
      <c r="H3665" s="4"/>
    </row>
    <row r="3666">
      <c r="A3666" s="2"/>
      <c r="B3666" s="2"/>
      <c r="C3666" s="2"/>
      <c r="D3666" s="2"/>
      <c r="E3666" s="2"/>
      <c r="F3666" s="2"/>
      <c r="G3666" s="4"/>
      <c r="H3666" s="4"/>
    </row>
    <row r="3667">
      <c r="A3667" s="2"/>
      <c r="B3667" s="2"/>
      <c r="C3667" s="2"/>
      <c r="D3667" s="2"/>
      <c r="E3667" s="2"/>
      <c r="F3667" s="2"/>
      <c r="G3667" s="4"/>
      <c r="H3667" s="4"/>
    </row>
    <row r="3668">
      <c r="A3668" s="2"/>
      <c r="B3668" s="2"/>
      <c r="C3668" s="2"/>
      <c r="D3668" s="2"/>
      <c r="E3668" s="2"/>
      <c r="F3668" s="2"/>
      <c r="G3668" s="4"/>
      <c r="H3668" s="4"/>
    </row>
    <row r="3669">
      <c r="A3669" s="2"/>
      <c r="B3669" s="2"/>
      <c r="C3669" s="2"/>
      <c r="D3669" s="2"/>
      <c r="E3669" s="2"/>
      <c r="F3669" s="2"/>
      <c r="G3669" s="4"/>
      <c r="H3669" s="4"/>
    </row>
    <row r="3670">
      <c r="A3670" s="2"/>
      <c r="B3670" s="2"/>
      <c r="C3670" s="2"/>
      <c r="D3670" s="2"/>
      <c r="E3670" s="2"/>
      <c r="F3670" s="2"/>
      <c r="G3670" s="4"/>
      <c r="H3670" s="4"/>
    </row>
    <row r="3671">
      <c r="A3671" s="2"/>
      <c r="B3671" s="2"/>
      <c r="C3671" s="2"/>
      <c r="D3671" s="2"/>
      <c r="E3671" s="2"/>
      <c r="F3671" s="2"/>
      <c r="G3671" s="4"/>
      <c r="H3671" s="4"/>
    </row>
    <row r="3672">
      <c r="A3672" s="2"/>
      <c r="B3672" s="2"/>
      <c r="C3672" s="2"/>
      <c r="D3672" s="2"/>
      <c r="E3672" s="2"/>
      <c r="F3672" s="2"/>
      <c r="G3672" s="4"/>
      <c r="H3672" s="4"/>
    </row>
    <row r="3673">
      <c r="A3673" s="2"/>
      <c r="B3673" s="2"/>
      <c r="C3673" s="2"/>
      <c r="D3673" s="2"/>
      <c r="E3673" s="2"/>
      <c r="F3673" s="2"/>
      <c r="G3673" s="4"/>
      <c r="H3673" s="4"/>
    </row>
    <row r="3674">
      <c r="A3674" s="2"/>
      <c r="B3674" s="2"/>
      <c r="C3674" s="2"/>
      <c r="D3674" s="2"/>
      <c r="E3674" s="2"/>
      <c r="F3674" s="2"/>
      <c r="G3674" s="4"/>
      <c r="H3674" s="4"/>
    </row>
    <row r="3675">
      <c r="A3675" s="2"/>
      <c r="B3675" s="2"/>
      <c r="C3675" s="2"/>
      <c r="D3675" s="2"/>
      <c r="E3675" s="2"/>
      <c r="F3675" s="2"/>
      <c r="G3675" s="4"/>
      <c r="H3675" s="4"/>
    </row>
    <row r="3676">
      <c r="A3676" s="2"/>
      <c r="B3676" s="2"/>
      <c r="C3676" s="2"/>
      <c r="D3676" s="2"/>
      <c r="E3676" s="2"/>
      <c r="F3676" s="2"/>
      <c r="G3676" s="4"/>
      <c r="H3676" s="4"/>
    </row>
    <row r="3677">
      <c r="A3677" s="2"/>
      <c r="B3677" s="2"/>
      <c r="C3677" s="2"/>
      <c r="D3677" s="2"/>
      <c r="E3677" s="2"/>
      <c r="F3677" s="2"/>
      <c r="G3677" s="4"/>
      <c r="H3677" s="4"/>
    </row>
    <row r="3678">
      <c r="A3678" s="2"/>
      <c r="B3678" s="2"/>
      <c r="C3678" s="2"/>
      <c r="D3678" s="2"/>
      <c r="E3678" s="2"/>
      <c r="F3678" s="2"/>
      <c r="G3678" s="4"/>
      <c r="H3678" s="4"/>
    </row>
    <row r="3679">
      <c r="A3679" s="2"/>
      <c r="B3679" s="2"/>
      <c r="C3679" s="2"/>
      <c r="D3679" s="2"/>
      <c r="E3679" s="2"/>
      <c r="F3679" s="2"/>
      <c r="G3679" s="4"/>
      <c r="H3679" s="4"/>
    </row>
    <row r="3680">
      <c r="A3680" s="2"/>
      <c r="B3680" s="2"/>
      <c r="C3680" s="2"/>
      <c r="D3680" s="2"/>
      <c r="E3680" s="2"/>
      <c r="F3680" s="2"/>
      <c r="G3680" s="4"/>
      <c r="H3680" s="4"/>
    </row>
    <row r="3681">
      <c r="A3681" s="2"/>
      <c r="B3681" s="2"/>
      <c r="C3681" s="2"/>
      <c r="D3681" s="2"/>
      <c r="E3681" s="2"/>
      <c r="F3681" s="2"/>
      <c r="G3681" s="4"/>
      <c r="H3681" s="4"/>
    </row>
    <row r="3682">
      <c r="A3682" s="2"/>
      <c r="B3682" s="2"/>
      <c r="C3682" s="2"/>
      <c r="D3682" s="2"/>
      <c r="E3682" s="2"/>
      <c r="F3682" s="2"/>
      <c r="G3682" s="4"/>
      <c r="H3682" s="4"/>
    </row>
    <row r="3683">
      <c r="A3683" s="2"/>
      <c r="B3683" s="2"/>
      <c r="C3683" s="2"/>
      <c r="D3683" s="2"/>
      <c r="E3683" s="2"/>
      <c r="F3683" s="2"/>
      <c r="G3683" s="4"/>
      <c r="H3683" s="4"/>
    </row>
    <row r="3684">
      <c r="A3684" s="2"/>
      <c r="B3684" s="2"/>
      <c r="C3684" s="2"/>
      <c r="D3684" s="2"/>
      <c r="E3684" s="2"/>
      <c r="F3684" s="2"/>
      <c r="G3684" s="4"/>
      <c r="H3684" s="4"/>
    </row>
    <row r="3685">
      <c r="A3685" s="2"/>
      <c r="B3685" s="2"/>
      <c r="C3685" s="2"/>
      <c r="D3685" s="2"/>
      <c r="E3685" s="2"/>
      <c r="F3685" s="2"/>
      <c r="G3685" s="4"/>
      <c r="H3685" s="4"/>
    </row>
    <row r="3686">
      <c r="A3686" s="2"/>
      <c r="B3686" s="2"/>
      <c r="C3686" s="2"/>
      <c r="D3686" s="2"/>
      <c r="E3686" s="2"/>
      <c r="F3686" s="2"/>
      <c r="G3686" s="4"/>
      <c r="H3686" s="4"/>
    </row>
    <row r="3687">
      <c r="A3687" s="2"/>
      <c r="B3687" s="2"/>
      <c r="C3687" s="2"/>
      <c r="D3687" s="2"/>
      <c r="E3687" s="2"/>
      <c r="F3687" s="2"/>
      <c r="G3687" s="4"/>
      <c r="H3687" s="4"/>
    </row>
    <row r="3688">
      <c r="A3688" s="2"/>
      <c r="B3688" s="2"/>
      <c r="C3688" s="2"/>
      <c r="D3688" s="2"/>
      <c r="E3688" s="2"/>
      <c r="F3688" s="2"/>
      <c r="G3688" s="4"/>
      <c r="H3688" s="4"/>
    </row>
    <row r="3689">
      <c r="A3689" s="2"/>
      <c r="B3689" s="2"/>
      <c r="C3689" s="2"/>
      <c r="D3689" s="2"/>
      <c r="E3689" s="2"/>
      <c r="F3689" s="2"/>
      <c r="G3689" s="4"/>
      <c r="H3689" s="4"/>
    </row>
    <row r="3690">
      <c r="A3690" s="2"/>
      <c r="B3690" s="2"/>
      <c r="C3690" s="2"/>
      <c r="D3690" s="2"/>
      <c r="E3690" s="2"/>
      <c r="F3690" s="2"/>
      <c r="G3690" s="4"/>
      <c r="H3690" s="4"/>
    </row>
    <row r="3691">
      <c r="A3691" s="2"/>
      <c r="B3691" s="2"/>
      <c r="C3691" s="2"/>
      <c r="D3691" s="2"/>
      <c r="E3691" s="2"/>
      <c r="F3691" s="2"/>
      <c r="G3691" s="4"/>
      <c r="H3691" s="4"/>
    </row>
    <row r="3692">
      <c r="A3692" s="2"/>
      <c r="B3692" s="2"/>
      <c r="C3692" s="2"/>
      <c r="D3692" s="2"/>
      <c r="E3692" s="2"/>
      <c r="F3692" s="2"/>
      <c r="G3692" s="4"/>
      <c r="H3692" s="4"/>
    </row>
    <row r="3693">
      <c r="A3693" s="2"/>
      <c r="B3693" s="2"/>
      <c r="C3693" s="2"/>
      <c r="D3693" s="2"/>
      <c r="E3693" s="2"/>
      <c r="F3693" s="2"/>
      <c r="G3693" s="4"/>
      <c r="H3693" s="4"/>
    </row>
    <row r="3694">
      <c r="A3694" s="2"/>
      <c r="B3694" s="2"/>
      <c r="C3694" s="2"/>
      <c r="D3694" s="2"/>
      <c r="E3694" s="2"/>
      <c r="F3694" s="2"/>
      <c r="G3694" s="4"/>
      <c r="H3694" s="4"/>
    </row>
    <row r="3695">
      <c r="A3695" s="2"/>
      <c r="B3695" s="2"/>
      <c r="C3695" s="2"/>
      <c r="D3695" s="2"/>
      <c r="E3695" s="2"/>
      <c r="F3695" s="2"/>
      <c r="G3695" s="4"/>
      <c r="H3695" s="4"/>
    </row>
    <row r="3696">
      <c r="A3696" s="2"/>
      <c r="B3696" s="2"/>
      <c r="C3696" s="2"/>
      <c r="D3696" s="2"/>
      <c r="E3696" s="2"/>
      <c r="F3696" s="2"/>
      <c r="G3696" s="4"/>
      <c r="H3696" s="4"/>
    </row>
    <row r="3697">
      <c r="A3697" s="2"/>
      <c r="B3697" s="2"/>
      <c r="C3697" s="2"/>
      <c r="D3697" s="2"/>
      <c r="E3697" s="2"/>
      <c r="F3697" s="2"/>
      <c r="G3697" s="4"/>
      <c r="H3697" s="4"/>
    </row>
    <row r="3698">
      <c r="A3698" s="2"/>
      <c r="B3698" s="2"/>
      <c r="C3698" s="2"/>
      <c r="D3698" s="2"/>
      <c r="E3698" s="2"/>
      <c r="F3698" s="2"/>
      <c r="G3698" s="4"/>
      <c r="H3698" s="4"/>
    </row>
    <row r="3699">
      <c r="A3699" s="2"/>
      <c r="B3699" s="2"/>
      <c r="C3699" s="2"/>
      <c r="D3699" s="2"/>
      <c r="E3699" s="2"/>
      <c r="F3699" s="2"/>
      <c r="G3699" s="4"/>
      <c r="H3699" s="4"/>
    </row>
    <row r="3700">
      <c r="A3700" s="2"/>
      <c r="B3700" s="2"/>
      <c r="C3700" s="2"/>
      <c r="D3700" s="2"/>
      <c r="E3700" s="2"/>
      <c r="F3700" s="2"/>
      <c r="G3700" s="4"/>
      <c r="H3700" s="4"/>
    </row>
    <row r="3701">
      <c r="A3701" s="2"/>
      <c r="B3701" s="2"/>
      <c r="C3701" s="2"/>
      <c r="D3701" s="2"/>
      <c r="E3701" s="2"/>
      <c r="F3701" s="2"/>
      <c r="G3701" s="4"/>
      <c r="H3701" s="4"/>
    </row>
    <row r="3702">
      <c r="A3702" s="2"/>
      <c r="B3702" s="2"/>
      <c r="C3702" s="2"/>
      <c r="D3702" s="2"/>
      <c r="E3702" s="2"/>
      <c r="F3702" s="2"/>
      <c r="G3702" s="4"/>
      <c r="H3702" s="4"/>
    </row>
    <row r="3703">
      <c r="A3703" s="2"/>
      <c r="B3703" s="2"/>
      <c r="C3703" s="2"/>
      <c r="D3703" s="2"/>
      <c r="E3703" s="2"/>
      <c r="F3703" s="2"/>
      <c r="G3703" s="4"/>
      <c r="H3703" s="4"/>
    </row>
    <row r="3704">
      <c r="A3704" s="2"/>
      <c r="B3704" s="2"/>
      <c r="C3704" s="2"/>
      <c r="D3704" s="2"/>
      <c r="E3704" s="2"/>
      <c r="F3704" s="2"/>
      <c r="G3704" s="4"/>
      <c r="H3704" s="4"/>
    </row>
    <row r="3705">
      <c r="A3705" s="2"/>
      <c r="B3705" s="2"/>
      <c r="C3705" s="2"/>
      <c r="D3705" s="2"/>
      <c r="E3705" s="2"/>
      <c r="F3705" s="2"/>
      <c r="G3705" s="4"/>
      <c r="H3705" s="4"/>
    </row>
    <row r="3706">
      <c r="A3706" s="2"/>
      <c r="B3706" s="2"/>
      <c r="C3706" s="2"/>
      <c r="D3706" s="2"/>
      <c r="E3706" s="2"/>
      <c r="F3706" s="2"/>
      <c r="G3706" s="4"/>
      <c r="H3706" s="4"/>
    </row>
    <row r="3707">
      <c r="A3707" s="2"/>
      <c r="B3707" s="2"/>
      <c r="C3707" s="2"/>
      <c r="D3707" s="2"/>
      <c r="E3707" s="2"/>
      <c r="F3707" s="2"/>
      <c r="G3707" s="4"/>
      <c r="H3707" s="4"/>
    </row>
    <row r="3708">
      <c r="A3708" s="2"/>
      <c r="B3708" s="2"/>
      <c r="C3708" s="2"/>
      <c r="D3708" s="2"/>
      <c r="E3708" s="2"/>
      <c r="F3708" s="2"/>
      <c r="G3708" s="4"/>
      <c r="H3708" s="4"/>
    </row>
    <row r="3709">
      <c r="A3709" s="2"/>
      <c r="B3709" s="2"/>
      <c r="C3709" s="2"/>
      <c r="D3709" s="2"/>
      <c r="E3709" s="2"/>
      <c r="F3709" s="2"/>
      <c r="G3709" s="4"/>
      <c r="H3709" s="4"/>
    </row>
    <row r="3710">
      <c r="A3710" s="2"/>
      <c r="B3710" s="2"/>
      <c r="C3710" s="2"/>
      <c r="D3710" s="2"/>
      <c r="E3710" s="2"/>
      <c r="F3710" s="2"/>
      <c r="G3710" s="4"/>
      <c r="H3710" s="4"/>
    </row>
    <row r="3711">
      <c r="A3711" s="2"/>
      <c r="B3711" s="2"/>
      <c r="C3711" s="2"/>
      <c r="D3711" s="2"/>
      <c r="E3711" s="2"/>
      <c r="F3711" s="2"/>
      <c r="G3711" s="4"/>
      <c r="H3711" s="4"/>
    </row>
    <row r="3712">
      <c r="A3712" s="2"/>
      <c r="B3712" s="2"/>
      <c r="C3712" s="2"/>
      <c r="D3712" s="2"/>
      <c r="E3712" s="2"/>
      <c r="F3712" s="2"/>
      <c r="G3712" s="4"/>
      <c r="H3712" s="4"/>
    </row>
    <row r="3713">
      <c r="A3713" s="2"/>
      <c r="B3713" s="2"/>
      <c r="C3713" s="2"/>
      <c r="D3713" s="2"/>
      <c r="E3713" s="2"/>
      <c r="F3713" s="2"/>
      <c r="G3713" s="4"/>
      <c r="H3713" s="4"/>
    </row>
    <row r="3714">
      <c r="A3714" s="2"/>
      <c r="B3714" s="2"/>
      <c r="C3714" s="2"/>
      <c r="D3714" s="2"/>
      <c r="E3714" s="2"/>
      <c r="F3714" s="2"/>
      <c r="G3714" s="4"/>
      <c r="H3714" s="4"/>
    </row>
    <row r="3715">
      <c r="A3715" s="2"/>
      <c r="B3715" s="2"/>
      <c r="C3715" s="2"/>
      <c r="D3715" s="2"/>
      <c r="E3715" s="2"/>
      <c r="F3715" s="2"/>
      <c r="G3715" s="4"/>
      <c r="H3715" s="4"/>
    </row>
    <row r="3716">
      <c r="A3716" s="2"/>
      <c r="B3716" s="2"/>
      <c r="C3716" s="2"/>
      <c r="D3716" s="2"/>
      <c r="E3716" s="2"/>
      <c r="F3716" s="2"/>
      <c r="G3716" s="4"/>
      <c r="H3716" s="4"/>
    </row>
    <row r="3717">
      <c r="A3717" s="2"/>
      <c r="B3717" s="2"/>
      <c r="C3717" s="2"/>
      <c r="D3717" s="2"/>
      <c r="E3717" s="2"/>
      <c r="F3717" s="2"/>
      <c r="G3717" s="4"/>
      <c r="H3717" s="4"/>
    </row>
    <row r="3718">
      <c r="A3718" s="2"/>
      <c r="B3718" s="2"/>
      <c r="C3718" s="2"/>
      <c r="D3718" s="2"/>
      <c r="E3718" s="2"/>
      <c r="F3718" s="2"/>
      <c r="G3718" s="4"/>
      <c r="H3718" s="4"/>
    </row>
    <row r="3719">
      <c r="A3719" s="2"/>
      <c r="B3719" s="2"/>
      <c r="C3719" s="2"/>
      <c r="D3719" s="2"/>
      <c r="E3719" s="2"/>
      <c r="F3719" s="2"/>
      <c r="G3719" s="4"/>
      <c r="H3719" s="4"/>
    </row>
    <row r="3720">
      <c r="A3720" s="2"/>
      <c r="B3720" s="2"/>
      <c r="C3720" s="2"/>
      <c r="D3720" s="2"/>
      <c r="E3720" s="2"/>
      <c r="F3720" s="2"/>
      <c r="G3720" s="4"/>
      <c r="H3720" s="4"/>
    </row>
    <row r="3721">
      <c r="A3721" s="2"/>
      <c r="B3721" s="2"/>
      <c r="C3721" s="2"/>
      <c r="D3721" s="2"/>
      <c r="E3721" s="2"/>
      <c r="F3721" s="2"/>
      <c r="G3721" s="4"/>
      <c r="H3721" s="4"/>
    </row>
    <row r="3722">
      <c r="A3722" s="2"/>
      <c r="B3722" s="2"/>
      <c r="C3722" s="2"/>
      <c r="D3722" s="2"/>
      <c r="E3722" s="2"/>
      <c r="F3722" s="2"/>
      <c r="G3722" s="4"/>
      <c r="H3722" s="4"/>
    </row>
    <row r="3723">
      <c r="A3723" s="2"/>
      <c r="B3723" s="2"/>
      <c r="C3723" s="2"/>
      <c r="D3723" s="2"/>
      <c r="E3723" s="2"/>
      <c r="F3723" s="2"/>
      <c r="G3723" s="4"/>
      <c r="H3723" s="4"/>
    </row>
    <row r="3724">
      <c r="A3724" s="2"/>
      <c r="B3724" s="2"/>
      <c r="C3724" s="2"/>
      <c r="D3724" s="2"/>
      <c r="E3724" s="2"/>
      <c r="F3724" s="2"/>
      <c r="G3724" s="4"/>
      <c r="H3724" s="4"/>
    </row>
    <row r="3725">
      <c r="A3725" s="2"/>
      <c r="B3725" s="2"/>
      <c r="C3725" s="2"/>
      <c r="D3725" s="2"/>
      <c r="E3725" s="2"/>
      <c r="F3725" s="2"/>
      <c r="G3725" s="4"/>
      <c r="H3725" s="4"/>
    </row>
    <row r="3726">
      <c r="A3726" s="2"/>
      <c r="B3726" s="2"/>
      <c r="C3726" s="2"/>
      <c r="D3726" s="2"/>
      <c r="E3726" s="2"/>
      <c r="F3726" s="2"/>
      <c r="G3726" s="4"/>
      <c r="H3726" s="4"/>
    </row>
    <row r="3727">
      <c r="A3727" s="2"/>
      <c r="B3727" s="2"/>
      <c r="C3727" s="2"/>
      <c r="D3727" s="2"/>
      <c r="E3727" s="2"/>
      <c r="F3727" s="2"/>
      <c r="G3727" s="4"/>
      <c r="H3727" s="4"/>
    </row>
    <row r="3728">
      <c r="A3728" s="2"/>
      <c r="B3728" s="2"/>
      <c r="C3728" s="2"/>
      <c r="D3728" s="2"/>
      <c r="E3728" s="2"/>
      <c r="F3728" s="2"/>
      <c r="G3728" s="4"/>
      <c r="H3728" s="4"/>
    </row>
    <row r="3729">
      <c r="A3729" s="2"/>
      <c r="B3729" s="2"/>
      <c r="C3729" s="2"/>
      <c r="D3729" s="2"/>
      <c r="E3729" s="2"/>
      <c r="F3729" s="2"/>
      <c r="G3729" s="4"/>
      <c r="H3729" s="4"/>
    </row>
    <row r="3730">
      <c r="A3730" s="2"/>
      <c r="B3730" s="2"/>
      <c r="C3730" s="2"/>
      <c r="D3730" s="2"/>
      <c r="E3730" s="2"/>
      <c r="F3730" s="2"/>
      <c r="G3730" s="4"/>
      <c r="H3730" s="4"/>
    </row>
    <row r="3731">
      <c r="A3731" s="2"/>
      <c r="B3731" s="2"/>
      <c r="C3731" s="2"/>
      <c r="D3731" s="2"/>
      <c r="E3731" s="2"/>
      <c r="F3731" s="2"/>
      <c r="G3731" s="4"/>
      <c r="H3731" s="4"/>
    </row>
    <row r="3732">
      <c r="A3732" s="2"/>
      <c r="B3732" s="2"/>
      <c r="C3732" s="2"/>
      <c r="D3732" s="2"/>
      <c r="E3732" s="2"/>
      <c r="F3732" s="2"/>
      <c r="G3732" s="4"/>
      <c r="H3732" s="4"/>
    </row>
    <row r="3733">
      <c r="A3733" s="2"/>
      <c r="B3733" s="2"/>
      <c r="C3733" s="2"/>
      <c r="D3733" s="2"/>
      <c r="E3733" s="2"/>
      <c r="F3733" s="2"/>
      <c r="G3733" s="4"/>
      <c r="H3733" s="4"/>
    </row>
    <row r="3734">
      <c r="A3734" s="2"/>
      <c r="B3734" s="2"/>
      <c r="C3734" s="2"/>
      <c r="D3734" s="2"/>
      <c r="E3734" s="2"/>
      <c r="F3734" s="2"/>
      <c r="G3734" s="4"/>
      <c r="H3734" s="4"/>
    </row>
    <row r="3735">
      <c r="A3735" s="2"/>
      <c r="B3735" s="2"/>
      <c r="C3735" s="2"/>
      <c r="D3735" s="2"/>
      <c r="E3735" s="2"/>
      <c r="F3735" s="2"/>
      <c r="G3735" s="4"/>
      <c r="H3735" s="4"/>
    </row>
    <row r="3736">
      <c r="A3736" s="2"/>
      <c r="B3736" s="2"/>
      <c r="C3736" s="2"/>
      <c r="D3736" s="2"/>
      <c r="E3736" s="2"/>
      <c r="F3736" s="2"/>
      <c r="G3736" s="4"/>
      <c r="H3736" s="4"/>
    </row>
    <row r="3737">
      <c r="A3737" s="2"/>
      <c r="B3737" s="2"/>
      <c r="C3737" s="2"/>
      <c r="D3737" s="2"/>
      <c r="E3737" s="2"/>
      <c r="F3737" s="2"/>
      <c r="G3737" s="4"/>
      <c r="H3737" s="4"/>
    </row>
    <row r="3738">
      <c r="A3738" s="2"/>
      <c r="B3738" s="2"/>
      <c r="C3738" s="2"/>
      <c r="D3738" s="2"/>
      <c r="E3738" s="2"/>
      <c r="F3738" s="2"/>
      <c r="G3738" s="4"/>
      <c r="H3738" s="4"/>
    </row>
    <row r="3739">
      <c r="A3739" s="2"/>
      <c r="B3739" s="2"/>
      <c r="C3739" s="2"/>
      <c r="D3739" s="2"/>
      <c r="E3739" s="2"/>
      <c r="F3739" s="2"/>
      <c r="G3739" s="4"/>
      <c r="H3739" s="4"/>
    </row>
    <row r="3740">
      <c r="A3740" s="2"/>
      <c r="B3740" s="2"/>
      <c r="C3740" s="2"/>
      <c r="D3740" s="2"/>
      <c r="E3740" s="2"/>
      <c r="F3740" s="2"/>
      <c r="G3740" s="4"/>
      <c r="H3740" s="4"/>
    </row>
    <row r="3741">
      <c r="A3741" s="2"/>
      <c r="B3741" s="2"/>
      <c r="C3741" s="2"/>
      <c r="D3741" s="2"/>
      <c r="E3741" s="2"/>
      <c r="F3741" s="2"/>
      <c r="G3741" s="4"/>
      <c r="H3741" s="4"/>
    </row>
    <row r="3742">
      <c r="A3742" s="2"/>
      <c r="B3742" s="2"/>
      <c r="C3742" s="2"/>
      <c r="D3742" s="2"/>
      <c r="E3742" s="2"/>
      <c r="F3742" s="2"/>
      <c r="G3742" s="4"/>
      <c r="H3742" s="4"/>
    </row>
    <row r="3743">
      <c r="A3743" s="2"/>
      <c r="B3743" s="2"/>
      <c r="C3743" s="2"/>
      <c r="D3743" s="2"/>
      <c r="E3743" s="2"/>
      <c r="F3743" s="2"/>
      <c r="G3743" s="4"/>
      <c r="H3743" s="4"/>
    </row>
    <row r="3744">
      <c r="A3744" s="2"/>
      <c r="B3744" s="2"/>
      <c r="C3744" s="2"/>
      <c r="D3744" s="2"/>
      <c r="E3744" s="2"/>
      <c r="F3744" s="2"/>
      <c r="G3744" s="4"/>
      <c r="H3744" s="4"/>
    </row>
    <row r="3745">
      <c r="A3745" s="2"/>
      <c r="B3745" s="2"/>
      <c r="C3745" s="2"/>
      <c r="D3745" s="2"/>
      <c r="E3745" s="2"/>
      <c r="F3745" s="2"/>
      <c r="G3745" s="4"/>
      <c r="H3745" s="4"/>
    </row>
    <row r="3746">
      <c r="A3746" s="2"/>
      <c r="B3746" s="2"/>
      <c r="C3746" s="2"/>
      <c r="D3746" s="2"/>
      <c r="E3746" s="2"/>
      <c r="F3746" s="2"/>
      <c r="G3746" s="4"/>
      <c r="H3746" s="4"/>
    </row>
    <row r="3747">
      <c r="A3747" s="2"/>
      <c r="B3747" s="2"/>
      <c r="C3747" s="2"/>
      <c r="D3747" s="2"/>
      <c r="E3747" s="2"/>
      <c r="F3747" s="2"/>
      <c r="G3747" s="4"/>
      <c r="H3747" s="4"/>
    </row>
    <row r="3748">
      <c r="A3748" s="2"/>
      <c r="B3748" s="2"/>
      <c r="C3748" s="2"/>
      <c r="D3748" s="2"/>
      <c r="E3748" s="2"/>
      <c r="F3748" s="2"/>
      <c r="G3748" s="4"/>
      <c r="H3748" s="4"/>
    </row>
    <row r="3749">
      <c r="A3749" s="2"/>
      <c r="B3749" s="2"/>
      <c r="C3749" s="2"/>
      <c r="D3749" s="2"/>
      <c r="E3749" s="2"/>
      <c r="F3749" s="2"/>
      <c r="G3749" s="4"/>
      <c r="H3749" s="4"/>
    </row>
    <row r="3750">
      <c r="A3750" s="2"/>
      <c r="B3750" s="2"/>
      <c r="C3750" s="2"/>
      <c r="D3750" s="2"/>
      <c r="E3750" s="2"/>
      <c r="F3750" s="2"/>
      <c r="G3750" s="4"/>
      <c r="H3750" s="4"/>
    </row>
    <row r="3751">
      <c r="A3751" s="2"/>
      <c r="B3751" s="2"/>
      <c r="C3751" s="2"/>
      <c r="D3751" s="2"/>
      <c r="E3751" s="2"/>
      <c r="F3751" s="2"/>
      <c r="G3751" s="4"/>
      <c r="H3751" s="4"/>
    </row>
    <row r="3752">
      <c r="A3752" s="2"/>
      <c r="B3752" s="2"/>
      <c r="C3752" s="2"/>
      <c r="D3752" s="2"/>
      <c r="E3752" s="2"/>
      <c r="F3752" s="2"/>
      <c r="G3752" s="4"/>
      <c r="H3752" s="4"/>
    </row>
    <row r="3753">
      <c r="A3753" s="2"/>
      <c r="B3753" s="2"/>
      <c r="C3753" s="2"/>
      <c r="D3753" s="2"/>
      <c r="E3753" s="2"/>
      <c r="F3753" s="2"/>
      <c r="G3753" s="4"/>
      <c r="H3753" s="4"/>
    </row>
    <row r="3754">
      <c r="A3754" s="2"/>
      <c r="B3754" s="2"/>
      <c r="C3754" s="2"/>
      <c r="D3754" s="2"/>
      <c r="E3754" s="2"/>
      <c r="F3754" s="2"/>
      <c r="G3754" s="4"/>
      <c r="H3754" s="4"/>
    </row>
    <row r="3755">
      <c r="A3755" s="2"/>
      <c r="B3755" s="2"/>
      <c r="C3755" s="2"/>
      <c r="D3755" s="2"/>
      <c r="E3755" s="2"/>
      <c r="F3755" s="2"/>
      <c r="G3755" s="4"/>
      <c r="H3755" s="4"/>
    </row>
    <row r="3756">
      <c r="A3756" s="2"/>
      <c r="B3756" s="2"/>
      <c r="C3756" s="2"/>
      <c r="D3756" s="2"/>
      <c r="E3756" s="2"/>
      <c r="F3756" s="2"/>
      <c r="G3756" s="4"/>
      <c r="H3756" s="4"/>
    </row>
    <row r="3757">
      <c r="A3757" s="2"/>
      <c r="B3757" s="2"/>
      <c r="C3757" s="2"/>
      <c r="D3757" s="2"/>
      <c r="E3757" s="2"/>
      <c r="F3757" s="2"/>
      <c r="G3757" s="4"/>
      <c r="H3757" s="4"/>
    </row>
    <row r="3758">
      <c r="A3758" s="2"/>
      <c r="B3758" s="2"/>
      <c r="C3758" s="2"/>
      <c r="D3758" s="2"/>
      <c r="E3758" s="2"/>
      <c r="F3758" s="2"/>
      <c r="G3758" s="4"/>
      <c r="H3758" s="4"/>
    </row>
    <row r="3759">
      <c r="A3759" s="2"/>
      <c r="B3759" s="2"/>
      <c r="C3759" s="2"/>
      <c r="D3759" s="2"/>
      <c r="E3759" s="2"/>
      <c r="F3759" s="2"/>
      <c r="G3759" s="4"/>
      <c r="H3759" s="4"/>
    </row>
    <row r="3760">
      <c r="A3760" s="2"/>
      <c r="B3760" s="2"/>
      <c r="C3760" s="2"/>
      <c r="D3760" s="2"/>
      <c r="E3760" s="2"/>
      <c r="F3760" s="2"/>
      <c r="G3760" s="4"/>
      <c r="H3760" s="4"/>
    </row>
    <row r="3761">
      <c r="A3761" s="2"/>
      <c r="B3761" s="2"/>
      <c r="C3761" s="2"/>
      <c r="D3761" s="2"/>
      <c r="E3761" s="2"/>
      <c r="F3761" s="2"/>
      <c r="G3761" s="4"/>
      <c r="H3761" s="4"/>
    </row>
    <row r="3762">
      <c r="A3762" s="2"/>
      <c r="B3762" s="2"/>
      <c r="C3762" s="2"/>
      <c r="D3762" s="2"/>
      <c r="E3762" s="2"/>
      <c r="F3762" s="2"/>
      <c r="G3762" s="4"/>
      <c r="H3762" s="4"/>
    </row>
    <row r="3763">
      <c r="A3763" s="2"/>
      <c r="B3763" s="2"/>
      <c r="C3763" s="2"/>
      <c r="D3763" s="2"/>
      <c r="E3763" s="2"/>
      <c r="F3763" s="2"/>
      <c r="G3763" s="4"/>
      <c r="H3763" s="4"/>
    </row>
    <row r="3764">
      <c r="A3764" s="2"/>
      <c r="B3764" s="2"/>
      <c r="C3764" s="2"/>
      <c r="D3764" s="2"/>
      <c r="E3764" s="2"/>
      <c r="F3764" s="2"/>
      <c r="G3764" s="4"/>
      <c r="H3764" s="4"/>
    </row>
    <row r="3765">
      <c r="A3765" s="2"/>
      <c r="B3765" s="2"/>
      <c r="C3765" s="2"/>
      <c r="D3765" s="2"/>
      <c r="E3765" s="2"/>
      <c r="F3765" s="2"/>
      <c r="G3765" s="4"/>
      <c r="H3765" s="4"/>
    </row>
    <row r="3766">
      <c r="A3766" s="2"/>
      <c r="B3766" s="2"/>
      <c r="C3766" s="2"/>
      <c r="D3766" s="2"/>
      <c r="E3766" s="2"/>
      <c r="F3766" s="2"/>
      <c r="G3766" s="4"/>
      <c r="H3766" s="4"/>
    </row>
    <row r="3767">
      <c r="A3767" s="2"/>
      <c r="B3767" s="2"/>
      <c r="C3767" s="2"/>
      <c r="D3767" s="2"/>
      <c r="E3767" s="2"/>
      <c r="F3767" s="2"/>
      <c r="G3767" s="4"/>
      <c r="H3767" s="4"/>
    </row>
    <row r="3768">
      <c r="A3768" s="2"/>
      <c r="B3768" s="2"/>
      <c r="C3768" s="2"/>
      <c r="D3768" s="2"/>
      <c r="E3768" s="2"/>
      <c r="F3768" s="2"/>
      <c r="G3768" s="4"/>
      <c r="H3768" s="4"/>
    </row>
    <row r="3769">
      <c r="A3769" s="2"/>
      <c r="B3769" s="2"/>
      <c r="C3769" s="2"/>
      <c r="D3769" s="2"/>
      <c r="E3769" s="2"/>
      <c r="F3769" s="2"/>
      <c r="G3769" s="4"/>
      <c r="H3769" s="4"/>
    </row>
    <row r="3770">
      <c r="A3770" s="2"/>
      <c r="B3770" s="2"/>
      <c r="C3770" s="2"/>
      <c r="D3770" s="2"/>
      <c r="E3770" s="2"/>
      <c r="F3770" s="2"/>
      <c r="G3770" s="4"/>
      <c r="H3770" s="4"/>
    </row>
    <row r="3771">
      <c r="A3771" s="2"/>
      <c r="B3771" s="2"/>
      <c r="C3771" s="2"/>
      <c r="D3771" s="2"/>
      <c r="E3771" s="2"/>
      <c r="F3771" s="2"/>
      <c r="G3771" s="4"/>
      <c r="H3771" s="4"/>
    </row>
    <row r="3772">
      <c r="A3772" s="2"/>
      <c r="B3772" s="2"/>
      <c r="C3772" s="2"/>
      <c r="D3772" s="2"/>
      <c r="E3772" s="2"/>
      <c r="F3772" s="2"/>
      <c r="G3772" s="4"/>
      <c r="H3772" s="4"/>
    </row>
    <row r="3773">
      <c r="A3773" s="2"/>
      <c r="B3773" s="2"/>
      <c r="C3773" s="2"/>
      <c r="D3773" s="2"/>
      <c r="E3773" s="2"/>
      <c r="F3773" s="2"/>
      <c r="G3773" s="4"/>
      <c r="H3773" s="4"/>
    </row>
    <row r="3774">
      <c r="A3774" s="2"/>
      <c r="B3774" s="2"/>
      <c r="C3774" s="2"/>
      <c r="D3774" s="2"/>
      <c r="E3774" s="2"/>
      <c r="F3774" s="2"/>
      <c r="G3774" s="4"/>
      <c r="H3774" s="4"/>
    </row>
    <row r="3775">
      <c r="A3775" s="2"/>
      <c r="B3775" s="2"/>
      <c r="C3775" s="2"/>
      <c r="D3775" s="2"/>
      <c r="E3775" s="2"/>
      <c r="F3775" s="2"/>
      <c r="G3775" s="4"/>
      <c r="H3775" s="4"/>
    </row>
    <row r="3776">
      <c r="A3776" s="2"/>
      <c r="B3776" s="2"/>
      <c r="C3776" s="2"/>
      <c r="D3776" s="2"/>
      <c r="E3776" s="2"/>
      <c r="F3776" s="2"/>
      <c r="G3776" s="4"/>
      <c r="H3776" s="4"/>
    </row>
    <row r="3777">
      <c r="A3777" s="2"/>
      <c r="B3777" s="2"/>
      <c r="C3777" s="2"/>
      <c r="D3777" s="2"/>
      <c r="E3777" s="2"/>
      <c r="F3777" s="2"/>
      <c r="G3777" s="4"/>
      <c r="H3777" s="4"/>
    </row>
    <row r="3778">
      <c r="A3778" s="2"/>
      <c r="B3778" s="2"/>
      <c r="C3778" s="2"/>
      <c r="D3778" s="2"/>
      <c r="E3778" s="2"/>
      <c r="F3778" s="2"/>
      <c r="G3778" s="4"/>
      <c r="H3778" s="4"/>
    </row>
    <row r="3779">
      <c r="A3779" s="2"/>
      <c r="B3779" s="2"/>
      <c r="C3779" s="2"/>
      <c r="D3779" s="2"/>
      <c r="E3779" s="2"/>
      <c r="F3779" s="2"/>
      <c r="G3779" s="4"/>
      <c r="H3779" s="4"/>
    </row>
    <row r="3780">
      <c r="A3780" s="2"/>
      <c r="B3780" s="2"/>
      <c r="C3780" s="2"/>
      <c r="D3780" s="2"/>
      <c r="E3780" s="2"/>
      <c r="F3780" s="2"/>
      <c r="G3780" s="4"/>
      <c r="H3780" s="4"/>
    </row>
    <row r="3781">
      <c r="A3781" s="2"/>
      <c r="B3781" s="2"/>
      <c r="C3781" s="2"/>
      <c r="D3781" s="2"/>
      <c r="E3781" s="2"/>
      <c r="F3781" s="2"/>
      <c r="G3781" s="4"/>
      <c r="H3781" s="4"/>
    </row>
    <row r="3782">
      <c r="A3782" s="2"/>
      <c r="B3782" s="2"/>
      <c r="C3782" s="2"/>
      <c r="D3782" s="2"/>
      <c r="E3782" s="2"/>
      <c r="F3782" s="2"/>
      <c r="G3782" s="4"/>
      <c r="H3782" s="4"/>
    </row>
    <row r="3783">
      <c r="A3783" s="2"/>
      <c r="B3783" s="2"/>
      <c r="C3783" s="2"/>
      <c r="D3783" s="2"/>
      <c r="E3783" s="2"/>
      <c r="F3783" s="2"/>
      <c r="G3783" s="4"/>
      <c r="H3783" s="4"/>
    </row>
    <row r="3784">
      <c r="A3784" s="2"/>
      <c r="B3784" s="2"/>
      <c r="C3784" s="2"/>
      <c r="D3784" s="2"/>
      <c r="E3784" s="2"/>
      <c r="F3784" s="2"/>
      <c r="G3784" s="4"/>
      <c r="H3784" s="4"/>
    </row>
    <row r="3785">
      <c r="A3785" s="2"/>
      <c r="B3785" s="2"/>
      <c r="C3785" s="2"/>
      <c r="D3785" s="2"/>
      <c r="E3785" s="2"/>
      <c r="F3785" s="2"/>
      <c r="G3785" s="4"/>
      <c r="H3785" s="4"/>
    </row>
    <row r="3786">
      <c r="A3786" s="2"/>
      <c r="B3786" s="2"/>
      <c r="C3786" s="2"/>
      <c r="D3786" s="2"/>
      <c r="E3786" s="2"/>
      <c r="F3786" s="2"/>
      <c r="G3786" s="4"/>
      <c r="H3786" s="4"/>
    </row>
    <row r="3787">
      <c r="A3787" s="2"/>
      <c r="B3787" s="2"/>
      <c r="C3787" s="2"/>
      <c r="D3787" s="2"/>
      <c r="E3787" s="2"/>
      <c r="F3787" s="2"/>
      <c r="G3787" s="4"/>
      <c r="H3787" s="4"/>
    </row>
    <row r="3788">
      <c r="A3788" s="2"/>
      <c r="B3788" s="2"/>
      <c r="C3788" s="2"/>
      <c r="D3788" s="2"/>
      <c r="E3788" s="2"/>
      <c r="F3788" s="2"/>
      <c r="G3788" s="4"/>
      <c r="H3788" s="4"/>
    </row>
    <row r="3789">
      <c r="A3789" s="2"/>
      <c r="B3789" s="2"/>
      <c r="C3789" s="2"/>
      <c r="D3789" s="2"/>
      <c r="E3789" s="2"/>
      <c r="F3789" s="2"/>
      <c r="G3789" s="4"/>
      <c r="H3789" s="4"/>
    </row>
    <row r="3790">
      <c r="A3790" s="2"/>
      <c r="B3790" s="2"/>
      <c r="C3790" s="2"/>
      <c r="D3790" s="2"/>
      <c r="E3790" s="2"/>
      <c r="F3790" s="2"/>
      <c r="G3790" s="4"/>
      <c r="H3790" s="4"/>
    </row>
    <row r="3791">
      <c r="A3791" s="2"/>
      <c r="B3791" s="2"/>
      <c r="C3791" s="2"/>
      <c r="D3791" s="2"/>
      <c r="E3791" s="2"/>
      <c r="F3791" s="2"/>
      <c r="G3791" s="4"/>
      <c r="H3791" s="4"/>
    </row>
    <row r="3792">
      <c r="A3792" s="2"/>
      <c r="B3792" s="2"/>
      <c r="C3792" s="2"/>
      <c r="D3792" s="2"/>
      <c r="E3792" s="2"/>
      <c r="F3792" s="2"/>
      <c r="G3792" s="4"/>
      <c r="H3792" s="4"/>
    </row>
    <row r="3793">
      <c r="A3793" s="2"/>
      <c r="B3793" s="2"/>
      <c r="C3793" s="2"/>
      <c r="D3793" s="2"/>
      <c r="E3793" s="2"/>
      <c r="F3793" s="2"/>
      <c r="G3793" s="4"/>
      <c r="H3793" s="4"/>
    </row>
    <row r="3794">
      <c r="A3794" s="2"/>
      <c r="B3794" s="2"/>
      <c r="C3794" s="2"/>
      <c r="D3794" s="2"/>
      <c r="E3794" s="2"/>
      <c r="F3794" s="2"/>
      <c r="G3794" s="4"/>
      <c r="H3794" s="4"/>
    </row>
    <row r="3795">
      <c r="A3795" s="2"/>
      <c r="B3795" s="2"/>
      <c r="C3795" s="2"/>
      <c r="D3795" s="2"/>
      <c r="E3795" s="2"/>
      <c r="F3795" s="2"/>
      <c r="G3795" s="4"/>
      <c r="H3795" s="4"/>
    </row>
    <row r="3796">
      <c r="A3796" s="2"/>
      <c r="B3796" s="2"/>
      <c r="C3796" s="2"/>
      <c r="D3796" s="2"/>
      <c r="E3796" s="2"/>
      <c r="F3796" s="2"/>
      <c r="G3796" s="4"/>
      <c r="H3796" s="4"/>
    </row>
    <row r="3797">
      <c r="A3797" s="2"/>
      <c r="B3797" s="2"/>
      <c r="C3797" s="2"/>
      <c r="D3797" s="2"/>
      <c r="E3797" s="2"/>
      <c r="F3797" s="2"/>
      <c r="G3797" s="4"/>
      <c r="H3797" s="4"/>
    </row>
    <row r="3798">
      <c r="A3798" s="2"/>
      <c r="B3798" s="2"/>
      <c r="C3798" s="2"/>
      <c r="D3798" s="2"/>
      <c r="E3798" s="2"/>
      <c r="F3798" s="2"/>
      <c r="G3798" s="4"/>
      <c r="H3798" s="4"/>
    </row>
    <row r="3799">
      <c r="A3799" s="2"/>
      <c r="B3799" s="2"/>
      <c r="C3799" s="2"/>
      <c r="D3799" s="2"/>
      <c r="E3799" s="2"/>
      <c r="F3799" s="2"/>
      <c r="G3799" s="4"/>
      <c r="H3799" s="4"/>
    </row>
    <row r="3800">
      <c r="A3800" s="2"/>
      <c r="B3800" s="2"/>
      <c r="C3800" s="2"/>
      <c r="D3800" s="2"/>
      <c r="E3800" s="2"/>
      <c r="F3800" s="2"/>
      <c r="G3800" s="4"/>
      <c r="H3800" s="4"/>
    </row>
    <row r="3801">
      <c r="A3801" s="2"/>
      <c r="B3801" s="2"/>
      <c r="C3801" s="2"/>
      <c r="D3801" s="2"/>
      <c r="E3801" s="2"/>
      <c r="F3801" s="2"/>
      <c r="G3801" s="4"/>
      <c r="H3801" s="4"/>
    </row>
    <row r="3802">
      <c r="A3802" s="2"/>
      <c r="B3802" s="2"/>
      <c r="C3802" s="2"/>
      <c r="D3802" s="2"/>
      <c r="E3802" s="2"/>
      <c r="F3802" s="2"/>
      <c r="G3802" s="4"/>
      <c r="H3802" s="4"/>
    </row>
    <row r="3803">
      <c r="A3803" s="2"/>
      <c r="B3803" s="2"/>
      <c r="C3803" s="2"/>
      <c r="D3803" s="2"/>
      <c r="E3803" s="2"/>
      <c r="F3803" s="2"/>
      <c r="G3803" s="4"/>
      <c r="H3803" s="4"/>
    </row>
    <row r="3804">
      <c r="A3804" s="2"/>
      <c r="B3804" s="2"/>
      <c r="C3804" s="2"/>
      <c r="D3804" s="2"/>
      <c r="E3804" s="2"/>
      <c r="F3804" s="2"/>
      <c r="G3804" s="4"/>
      <c r="H3804" s="4"/>
    </row>
    <row r="3805">
      <c r="A3805" s="2"/>
      <c r="B3805" s="2"/>
      <c r="C3805" s="2"/>
      <c r="D3805" s="2"/>
      <c r="E3805" s="2"/>
      <c r="F3805" s="2"/>
      <c r="G3805" s="4"/>
      <c r="H3805" s="4"/>
    </row>
    <row r="3806">
      <c r="A3806" s="2"/>
      <c r="B3806" s="2"/>
      <c r="C3806" s="2"/>
      <c r="D3806" s="2"/>
      <c r="E3806" s="2"/>
      <c r="F3806" s="2"/>
      <c r="G3806" s="4"/>
      <c r="H3806" s="4"/>
    </row>
    <row r="3807">
      <c r="A3807" s="2"/>
      <c r="B3807" s="2"/>
      <c r="C3807" s="2"/>
      <c r="D3807" s="2"/>
      <c r="E3807" s="2"/>
      <c r="F3807" s="2"/>
      <c r="G3807" s="4"/>
      <c r="H3807" s="4"/>
    </row>
    <row r="3808">
      <c r="A3808" s="2"/>
      <c r="B3808" s="2"/>
      <c r="C3808" s="2"/>
      <c r="D3808" s="2"/>
      <c r="E3808" s="2"/>
      <c r="F3808" s="2"/>
      <c r="G3808" s="4"/>
      <c r="H3808" s="4"/>
    </row>
    <row r="3809">
      <c r="A3809" s="2"/>
      <c r="B3809" s="2"/>
      <c r="C3809" s="2"/>
      <c r="D3809" s="2"/>
      <c r="E3809" s="2"/>
      <c r="F3809" s="2"/>
      <c r="G3809" s="4"/>
      <c r="H3809" s="4"/>
    </row>
    <row r="3810">
      <c r="A3810" s="2"/>
      <c r="B3810" s="2"/>
      <c r="C3810" s="2"/>
      <c r="D3810" s="2"/>
      <c r="E3810" s="2"/>
      <c r="F3810" s="2"/>
      <c r="G3810" s="4"/>
      <c r="H3810" s="4"/>
    </row>
    <row r="3811">
      <c r="A3811" s="2"/>
      <c r="B3811" s="2"/>
      <c r="C3811" s="2"/>
      <c r="D3811" s="2"/>
      <c r="E3811" s="2"/>
      <c r="F3811" s="2"/>
      <c r="G3811" s="4"/>
      <c r="H3811" s="4"/>
    </row>
    <row r="3812">
      <c r="A3812" s="2"/>
      <c r="B3812" s="2"/>
      <c r="C3812" s="2"/>
      <c r="D3812" s="2"/>
      <c r="E3812" s="2"/>
      <c r="F3812" s="2"/>
      <c r="G3812" s="4"/>
      <c r="H3812" s="4"/>
    </row>
    <row r="3813">
      <c r="A3813" s="2"/>
      <c r="B3813" s="2"/>
      <c r="C3813" s="2"/>
      <c r="D3813" s="2"/>
      <c r="E3813" s="2"/>
      <c r="F3813" s="2"/>
      <c r="G3813" s="4"/>
      <c r="H3813" s="4"/>
    </row>
    <row r="3814">
      <c r="A3814" s="2"/>
      <c r="B3814" s="2"/>
      <c r="C3814" s="2"/>
      <c r="D3814" s="2"/>
      <c r="E3814" s="2"/>
      <c r="F3814" s="2"/>
      <c r="G3814" s="4"/>
      <c r="H3814" s="4"/>
    </row>
    <row r="3815">
      <c r="A3815" s="2"/>
      <c r="B3815" s="2"/>
      <c r="C3815" s="2"/>
      <c r="D3815" s="2"/>
      <c r="E3815" s="2"/>
      <c r="F3815" s="2"/>
      <c r="G3815" s="4"/>
      <c r="H3815" s="4"/>
    </row>
    <row r="3816">
      <c r="A3816" s="2"/>
      <c r="B3816" s="2"/>
      <c r="C3816" s="2"/>
      <c r="D3816" s="2"/>
      <c r="E3816" s="2"/>
      <c r="F3816" s="2"/>
      <c r="G3816" s="4"/>
      <c r="H3816" s="4"/>
    </row>
    <row r="3817">
      <c r="A3817" s="2"/>
      <c r="B3817" s="2"/>
      <c r="C3817" s="2"/>
      <c r="D3817" s="2"/>
      <c r="E3817" s="2"/>
      <c r="F3817" s="2"/>
      <c r="G3817" s="4"/>
      <c r="H3817" s="4"/>
    </row>
    <row r="3818">
      <c r="A3818" s="2"/>
      <c r="B3818" s="2"/>
      <c r="C3818" s="2"/>
      <c r="D3818" s="2"/>
      <c r="E3818" s="2"/>
      <c r="F3818" s="2"/>
      <c r="G3818" s="4"/>
      <c r="H3818" s="4"/>
    </row>
    <row r="3819">
      <c r="A3819" s="2"/>
      <c r="B3819" s="2"/>
      <c r="C3819" s="2"/>
      <c r="D3819" s="2"/>
      <c r="E3819" s="2"/>
      <c r="F3819" s="2"/>
      <c r="G3819" s="4"/>
      <c r="H3819" s="4"/>
    </row>
    <row r="3820">
      <c r="A3820" s="2"/>
      <c r="B3820" s="2"/>
      <c r="C3820" s="2"/>
      <c r="D3820" s="2"/>
      <c r="E3820" s="2"/>
      <c r="F3820" s="2"/>
      <c r="G3820" s="4"/>
      <c r="H3820" s="4"/>
    </row>
    <row r="3821">
      <c r="A3821" s="2"/>
      <c r="B3821" s="2"/>
      <c r="C3821" s="2"/>
      <c r="D3821" s="2"/>
      <c r="E3821" s="2"/>
      <c r="F3821" s="2"/>
      <c r="G3821" s="4"/>
      <c r="H3821" s="4"/>
    </row>
    <row r="3822">
      <c r="A3822" s="2"/>
      <c r="B3822" s="2"/>
      <c r="C3822" s="2"/>
      <c r="D3822" s="2"/>
      <c r="E3822" s="2"/>
      <c r="F3822" s="2"/>
      <c r="G3822" s="4"/>
      <c r="H3822" s="4"/>
    </row>
    <row r="3823">
      <c r="A3823" s="2"/>
      <c r="B3823" s="2"/>
      <c r="C3823" s="2"/>
      <c r="D3823" s="2"/>
      <c r="E3823" s="2"/>
      <c r="F3823" s="2"/>
      <c r="G3823" s="4"/>
      <c r="H3823" s="4"/>
    </row>
    <row r="3824">
      <c r="A3824" s="2"/>
      <c r="B3824" s="2"/>
      <c r="C3824" s="2"/>
      <c r="D3824" s="2"/>
      <c r="E3824" s="2"/>
      <c r="F3824" s="2"/>
      <c r="G3824" s="4"/>
      <c r="H3824" s="4"/>
    </row>
    <row r="3825">
      <c r="A3825" s="2"/>
      <c r="B3825" s="2"/>
      <c r="C3825" s="2"/>
      <c r="D3825" s="2"/>
      <c r="E3825" s="2"/>
      <c r="F3825" s="2"/>
      <c r="G3825" s="4"/>
      <c r="H3825" s="4"/>
    </row>
    <row r="3826">
      <c r="A3826" s="2"/>
      <c r="B3826" s="2"/>
      <c r="C3826" s="2"/>
      <c r="D3826" s="2"/>
      <c r="E3826" s="2"/>
      <c r="F3826" s="2"/>
      <c r="G3826" s="4"/>
      <c r="H3826" s="4"/>
    </row>
    <row r="3827">
      <c r="A3827" s="2"/>
      <c r="B3827" s="2"/>
      <c r="C3827" s="2"/>
      <c r="D3827" s="2"/>
      <c r="E3827" s="2"/>
      <c r="F3827" s="2"/>
      <c r="G3827" s="4"/>
      <c r="H3827" s="4"/>
    </row>
    <row r="3828">
      <c r="A3828" s="2"/>
      <c r="B3828" s="2"/>
      <c r="C3828" s="2"/>
      <c r="D3828" s="2"/>
      <c r="E3828" s="2"/>
      <c r="F3828" s="2"/>
      <c r="G3828" s="4"/>
      <c r="H3828" s="4"/>
    </row>
    <row r="3829">
      <c r="A3829" s="2"/>
      <c r="B3829" s="2"/>
      <c r="C3829" s="2"/>
      <c r="D3829" s="2"/>
      <c r="E3829" s="2"/>
      <c r="F3829" s="2"/>
      <c r="G3829" s="4"/>
      <c r="H3829" s="4"/>
    </row>
    <row r="3830">
      <c r="A3830" s="2"/>
      <c r="B3830" s="2"/>
      <c r="C3830" s="2"/>
      <c r="D3830" s="2"/>
      <c r="E3830" s="2"/>
      <c r="F3830" s="2"/>
      <c r="G3830" s="4"/>
      <c r="H3830" s="4"/>
    </row>
    <row r="3831">
      <c r="A3831" s="2"/>
      <c r="B3831" s="2"/>
      <c r="C3831" s="2"/>
      <c r="D3831" s="2"/>
      <c r="E3831" s="2"/>
      <c r="F3831" s="2"/>
      <c r="G3831" s="4"/>
      <c r="H3831" s="4"/>
    </row>
    <row r="3832">
      <c r="A3832" s="2"/>
      <c r="B3832" s="2"/>
      <c r="C3832" s="2"/>
      <c r="D3832" s="2"/>
      <c r="E3832" s="2"/>
      <c r="F3832" s="2"/>
      <c r="G3832" s="4"/>
      <c r="H3832" s="4"/>
    </row>
    <row r="3833">
      <c r="A3833" s="2"/>
      <c r="B3833" s="2"/>
      <c r="C3833" s="2"/>
      <c r="D3833" s="2"/>
      <c r="E3833" s="2"/>
      <c r="F3833" s="2"/>
      <c r="G3833" s="4"/>
      <c r="H3833" s="4"/>
    </row>
    <row r="3834">
      <c r="A3834" s="2"/>
      <c r="B3834" s="2"/>
      <c r="C3834" s="2"/>
      <c r="D3834" s="2"/>
      <c r="E3834" s="2"/>
      <c r="F3834" s="2"/>
      <c r="G3834" s="4"/>
      <c r="H3834" s="4"/>
    </row>
    <row r="3835">
      <c r="A3835" s="2"/>
      <c r="B3835" s="2"/>
      <c r="C3835" s="2"/>
      <c r="D3835" s="2"/>
      <c r="E3835" s="2"/>
      <c r="F3835" s="2"/>
      <c r="G3835" s="4"/>
      <c r="H3835" s="4"/>
    </row>
    <row r="3836">
      <c r="A3836" s="2"/>
      <c r="B3836" s="2"/>
      <c r="C3836" s="2"/>
      <c r="D3836" s="2"/>
      <c r="E3836" s="2"/>
      <c r="F3836" s="2"/>
      <c r="G3836" s="4"/>
      <c r="H3836" s="4"/>
    </row>
    <row r="3837">
      <c r="A3837" s="2"/>
      <c r="B3837" s="2"/>
      <c r="C3837" s="2"/>
      <c r="D3837" s="2"/>
      <c r="E3837" s="2"/>
      <c r="F3837" s="2"/>
      <c r="G3837" s="4"/>
      <c r="H3837" s="4"/>
    </row>
    <row r="3838">
      <c r="A3838" s="2"/>
      <c r="B3838" s="2"/>
      <c r="C3838" s="2"/>
      <c r="D3838" s="2"/>
      <c r="E3838" s="2"/>
      <c r="F3838" s="2"/>
      <c r="G3838" s="4"/>
      <c r="H3838" s="4"/>
    </row>
    <row r="3839">
      <c r="A3839" s="2"/>
      <c r="B3839" s="2"/>
      <c r="C3839" s="2"/>
      <c r="D3839" s="2"/>
      <c r="E3839" s="2"/>
      <c r="F3839" s="2"/>
      <c r="G3839" s="4"/>
      <c r="H3839" s="4"/>
    </row>
    <row r="3840">
      <c r="A3840" s="2"/>
      <c r="B3840" s="2"/>
      <c r="C3840" s="2"/>
      <c r="D3840" s="2"/>
      <c r="E3840" s="2"/>
      <c r="F3840" s="2"/>
      <c r="G3840" s="4"/>
      <c r="H3840" s="4"/>
    </row>
    <row r="3841">
      <c r="A3841" s="2"/>
      <c r="B3841" s="2"/>
      <c r="C3841" s="2"/>
      <c r="D3841" s="2"/>
      <c r="E3841" s="2"/>
      <c r="F3841" s="2"/>
      <c r="G3841" s="4"/>
      <c r="H3841" s="4"/>
    </row>
    <row r="3842">
      <c r="A3842" s="2"/>
      <c r="B3842" s="2"/>
      <c r="C3842" s="2"/>
      <c r="D3842" s="2"/>
      <c r="E3842" s="2"/>
      <c r="F3842" s="2"/>
      <c r="G3842" s="4"/>
      <c r="H3842" s="4"/>
    </row>
    <row r="3843">
      <c r="A3843" s="2"/>
      <c r="B3843" s="2"/>
      <c r="C3843" s="2"/>
      <c r="D3843" s="2"/>
      <c r="E3843" s="2"/>
      <c r="F3843" s="2"/>
      <c r="G3843" s="4"/>
      <c r="H3843" s="4"/>
    </row>
    <row r="3844">
      <c r="A3844" s="2"/>
      <c r="B3844" s="2"/>
      <c r="C3844" s="2"/>
      <c r="D3844" s="2"/>
      <c r="E3844" s="2"/>
      <c r="F3844" s="2"/>
      <c r="G3844" s="4"/>
      <c r="H3844" s="4"/>
    </row>
    <row r="3845">
      <c r="A3845" s="2"/>
      <c r="B3845" s="2"/>
      <c r="C3845" s="2"/>
      <c r="D3845" s="2"/>
      <c r="E3845" s="2"/>
      <c r="F3845" s="2"/>
      <c r="G3845" s="4"/>
      <c r="H3845" s="4"/>
    </row>
    <row r="3846">
      <c r="A3846" s="2"/>
      <c r="B3846" s="2"/>
      <c r="C3846" s="2"/>
      <c r="D3846" s="2"/>
      <c r="E3846" s="2"/>
      <c r="F3846" s="2"/>
      <c r="G3846" s="4"/>
      <c r="H3846" s="4"/>
    </row>
    <row r="3847">
      <c r="A3847" s="2"/>
      <c r="B3847" s="2"/>
      <c r="C3847" s="2"/>
      <c r="D3847" s="2"/>
      <c r="E3847" s="2"/>
      <c r="F3847" s="2"/>
      <c r="G3847" s="4"/>
      <c r="H3847" s="4"/>
    </row>
    <row r="3848">
      <c r="A3848" s="2"/>
      <c r="B3848" s="2"/>
      <c r="C3848" s="2"/>
      <c r="D3848" s="2"/>
      <c r="E3848" s="2"/>
      <c r="F3848" s="2"/>
      <c r="G3848" s="4"/>
      <c r="H3848" s="4"/>
    </row>
    <row r="3849">
      <c r="A3849" s="2"/>
      <c r="B3849" s="2"/>
      <c r="C3849" s="2"/>
      <c r="D3849" s="2"/>
      <c r="E3849" s="2"/>
      <c r="F3849" s="2"/>
      <c r="G3849" s="4"/>
      <c r="H3849" s="4"/>
    </row>
    <row r="3850">
      <c r="A3850" s="2"/>
      <c r="B3850" s="2"/>
      <c r="C3850" s="2"/>
      <c r="D3850" s="2"/>
      <c r="E3850" s="2"/>
      <c r="F3850" s="2"/>
      <c r="G3850" s="4"/>
      <c r="H3850" s="4"/>
    </row>
    <row r="3851">
      <c r="A3851" s="2"/>
      <c r="B3851" s="2"/>
      <c r="C3851" s="2"/>
      <c r="D3851" s="2"/>
      <c r="E3851" s="2"/>
      <c r="F3851" s="2"/>
      <c r="G3851" s="4"/>
      <c r="H3851" s="4"/>
    </row>
    <row r="3852">
      <c r="A3852" s="2"/>
      <c r="B3852" s="2"/>
      <c r="C3852" s="2"/>
      <c r="D3852" s="2"/>
      <c r="E3852" s="2"/>
      <c r="F3852" s="2"/>
      <c r="G3852" s="4"/>
      <c r="H3852" s="4"/>
    </row>
    <row r="3853">
      <c r="A3853" s="2"/>
      <c r="B3853" s="2"/>
      <c r="C3853" s="2"/>
      <c r="D3853" s="2"/>
      <c r="E3853" s="2"/>
      <c r="F3853" s="2"/>
      <c r="G3853" s="4"/>
      <c r="H3853" s="4"/>
    </row>
    <row r="3854">
      <c r="A3854" s="2"/>
      <c r="B3854" s="2"/>
      <c r="C3854" s="2"/>
      <c r="D3854" s="2"/>
      <c r="E3854" s="2"/>
      <c r="F3854" s="2"/>
      <c r="G3854" s="4"/>
      <c r="H3854" s="4"/>
    </row>
    <row r="3855">
      <c r="A3855" s="2"/>
      <c r="B3855" s="2"/>
      <c r="C3855" s="2"/>
      <c r="D3855" s="2"/>
      <c r="E3855" s="2"/>
      <c r="F3855" s="2"/>
      <c r="G3855" s="4"/>
      <c r="H3855" s="4"/>
    </row>
    <row r="3856">
      <c r="A3856" s="2"/>
      <c r="B3856" s="2"/>
      <c r="C3856" s="2"/>
      <c r="D3856" s="2"/>
      <c r="E3856" s="2"/>
      <c r="F3856" s="2"/>
      <c r="G3856" s="4"/>
      <c r="H3856" s="4"/>
    </row>
    <row r="3857">
      <c r="A3857" s="2"/>
      <c r="B3857" s="2"/>
      <c r="C3857" s="2"/>
      <c r="D3857" s="2"/>
      <c r="E3857" s="2"/>
      <c r="F3857" s="2"/>
      <c r="G3857" s="4"/>
      <c r="H3857" s="4"/>
    </row>
    <row r="3858">
      <c r="A3858" s="2"/>
      <c r="B3858" s="2"/>
      <c r="C3858" s="2"/>
      <c r="D3858" s="2"/>
      <c r="E3858" s="2"/>
      <c r="F3858" s="2"/>
      <c r="G3858" s="4"/>
      <c r="H3858" s="4"/>
    </row>
    <row r="3859">
      <c r="A3859" s="2"/>
      <c r="B3859" s="2"/>
      <c r="C3859" s="2"/>
      <c r="D3859" s="2"/>
      <c r="E3859" s="2"/>
      <c r="F3859" s="2"/>
      <c r="G3859" s="4"/>
      <c r="H3859" s="4"/>
    </row>
    <row r="3860">
      <c r="A3860" s="2"/>
      <c r="B3860" s="2"/>
      <c r="C3860" s="2"/>
      <c r="D3860" s="2"/>
      <c r="E3860" s="2"/>
      <c r="F3860" s="2"/>
      <c r="G3860" s="4"/>
      <c r="H3860" s="4"/>
    </row>
    <row r="3861">
      <c r="A3861" s="2"/>
      <c r="B3861" s="2"/>
      <c r="C3861" s="2"/>
      <c r="D3861" s="2"/>
      <c r="E3861" s="2"/>
      <c r="F3861" s="2"/>
      <c r="G3861" s="4"/>
      <c r="H3861" s="4"/>
    </row>
    <row r="3862">
      <c r="A3862" s="2"/>
      <c r="B3862" s="2"/>
      <c r="C3862" s="2"/>
      <c r="D3862" s="2"/>
      <c r="E3862" s="2"/>
      <c r="F3862" s="2"/>
      <c r="G3862" s="4"/>
      <c r="H3862" s="4"/>
    </row>
    <row r="3863">
      <c r="A3863" s="2"/>
      <c r="B3863" s="2"/>
      <c r="C3863" s="2"/>
      <c r="D3863" s="2"/>
      <c r="E3863" s="2"/>
      <c r="F3863" s="2"/>
      <c r="G3863" s="4"/>
      <c r="H3863" s="4"/>
    </row>
    <row r="3864">
      <c r="A3864" s="2"/>
      <c r="B3864" s="2"/>
      <c r="C3864" s="2"/>
      <c r="D3864" s="2"/>
      <c r="E3864" s="2"/>
      <c r="F3864" s="2"/>
      <c r="G3864" s="4"/>
      <c r="H3864" s="4"/>
    </row>
    <row r="3865">
      <c r="A3865" s="2"/>
      <c r="B3865" s="2"/>
      <c r="C3865" s="2"/>
      <c r="D3865" s="2"/>
      <c r="E3865" s="2"/>
      <c r="F3865" s="2"/>
      <c r="G3865" s="4"/>
      <c r="H3865" s="4"/>
    </row>
    <row r="3866">
      <c r="A3866" s="2"/>
      <c r="B3866" s="2"/>
      <c r="C3866" s="2"/>
      <c r="D3866" s="2"/>
      <c r="E3866" s="2"/>
      <c r="F3866" s="2"/>
      <c r="G3866" s="4"/>
      <c r="H3866" s="4"/>
    </row>
    <row r="3867">
      <c r="A3867" s="2"/>
      <c r="B3867" s="2"/>
      <c r="C3867" s="2"/>
      <c r="D3867" s="2"/>
      <c r="E3867" s="2"/>
      <c r="F3867" s="2"/>
      <c r="G3867" s="4"/>
      <c r="H3867" s="4"/>
    </row>
    <row r="3868">
      <c r="A3868" s="2"/>
      <c r="B3868" s="2"/>
      <c r="C3868" s="2"/>
      <c r="D3868" s="2"/>
      <c r="E3868" s="2"/>
      <c r="F3868" s="2"/>
      <c r="G3868" s="4"/>
      <c r="H3868" s="4"/>
    </row>
    <row r="3869">
      <c r="A3869" s="2"/>
      <c r="B3869" s="2"/>
      <c r="C3869" s="2"/>
      <c r="D3869" s="2"/>
      <c r="E3869" s="2"/>
      <c r="F3869" s="2"/>
      <c r="G3869" s="4"/>
      <c r="H3869" s="4"/>
    </row>
    <row r="3870">
      <c r="A3870" s="2"/>
      <c r="B3870" s="2"/>
      <c r="C3870" s="2"/>
      <c r="D3870" s="2"/>
      <c r="E3870" s="2"/>
      <c r="F3870" s="2"/>
      <c r="G3870" s="4"/>
      <c r="H3870" s="4"/>
    </row>
    <row r="3871">
      <c r="A3871" s="2"/>
      <c r="B3871" s="2"/>
      <c r="C3871" s="2"/>
      <c r="D3871" s="2"/>
      <c r="E3871" s="2"/>
      <c r="F3871" s="2"/>
      <c r="G3871" s="4"/>
      <c r="H3871" s="4"/>
    </row>
    <row r="3872">
      <c r="A3872" s="2"/>
      <c r="B3872" s="2"/>
      <c r="C3872" s="2"/>
      <c r="D3872" s="2"/>
      <c r="E3872" s="2"/>
      <c r="F3872" s="2"/>
      <c r="G3872" s="4"/>
      <c r="H3872" s="4"/>
    </row>
    <row r="3873">
      <c r="A3873" s="2"/>
      <c r="B3873" s="2"/>
      <c r="C3873" s="2"/>
      <c r="D3873" s="2"/>
      <c r="E3873" s="2"/>
      <c r="F3873" s="2"/>
      <c r="G3873" s="4"/>
      <c r="H3873" s="4"/>
    </row>
    <row r="3874">
      <c r="A3874" s="2"/>
      <c r="B3874" s="2"/>
      <c r="C3874" s="2"/>
      <c r="D3874" s="2"/>
      <c r="E3874" s="2"/>
      <c r="F3874" s="2"/>
      <c r="G3874" s="4"/>
      <c r="H3874" s="4"/>
    </row>
    <row r="3875">
      <c r="A3875" s="2"/>
      <c r="B3875" s="2"/>
      <c r="C3875" s="2"/>
      <c r="D3875" s="2"/>
      <c r="E3875" s="2"/>
      <c r="F3875" s="2"/>
      <c r="G3875" s="4"/>
      <c r="H3875" s="4"/>
    </row>
    <row r="3876">
      <c r="A3876" s="2"/>
      <c r="B3876" s="2"/>
      <c r="C3876" s="2"/>
      <c r="D3876" s="2"/>
      <c r="E3876" s="2"/>
      <c r="F3876" s="2"/>
      <c r="G3876" s="4"/>
      <c r="H3876" s="4"/>
    </row>
    <row r="3877">
      <c r="A3877" s="2"/>
      <c r="B3877" s="2"/>
      <c r="C3877" s="2"/>
      <c r="D3877" s="2"/>
      <c r="E3877" s="2"/>
      <c r="F3877" s="2"/>
      <c r="G3877" s="4"/>
      <c r="H3877" s="4"/>
    </row>
    <row r="3878">
      <c r="A3878" s="2"/>
      <c r="B3878" s="2"/>
      <c r="C3878" s="2"/>
      <c r="D3878" s="2"/>
      <c r="E3878" s="2"/>
      <c r="F3878" s="2"/>
      <c r="G3878" s="4"/>
      <c r="H3878" s="4"/>
    </row>
    <row r="3879">
      <c r="A3879" s="2"/>
      <c r="B3879" s="2"/>
      <c r="C3879" s="2"/>
      <c r="D3879" s="2"/>
      <c r="E3879" s="2"/>
      <c r="F3879" s="2"/>
      <c r="G3879" s="4"/>
      <c r="H3879" s="4"/>
    </row>
    <row r="3880">
      <c r="A3880" s="2"/>
      <c r="B3880" s="2"/>
      <c r="C3880" s="2"/>
      <c r="D3880" s="2"/>
      <c r="E3880" s="2"/>
      <c r="F3880" s="2"/>
      <c r="G3880" s="4"/>
      <c r="H3880" s="4"/>
    </row>
    <row r="3881">
      <c r="A3881" s="2"/>
      <c r="B3881" s="2"/>
      <c r="C3881" s="2"/>
      <c r="D3881" s="2"/>
      <c r="E3881" s="2"/>
      <c r="F3881" s="2"/>
      <c r="G3881" s="4"/>
      <c r="H3881" s="4"/>
    </row>
    <row r="3882">
      <c r="A3882" s="2"/>
      <c r="B3882" s="2"/>
      <c r="C3882" s="2"/>
      <c r="D3882" s="2"/>
      <c r="E3882" s="2"/>
      <c r="F3882" s="2"/>
      <c r="G3882" s="4"/>
      <c r="H3882" s="4"/>
    </row>
    <row r="3883">
      <c r="A3883" s="2"/>
      <c r="B3883" s="2"/>
      <c r="C3883" s="2"/>
      <c r="D3883" s="2"/>
      <c r="E3883" s="2"/>
      <c r="F3883" s="2"/>
      <c r="G3883" s="4"/>
      <c r="H3883" s="4"/>
    </row>
    <row r="3884">
      <c r="A3884" s="2"/>
      <c r="B3884" s="2"/>
      <c r="C3884" s="2"/>
      <c r="D3884" s="2"/>
      <c r="E3884" s="2"/>
      <c r="F3884" s="2"/>
      <c r="G3884" s="4"/>
      <c r="H3884" s="4"/>
    </row>
    <row r="3885">
      <c r="A3885" s="2"/>
      <c r="B3885" s="2"/>
      <c r="C3885" s="2"/>
      <c r="D3885" s="2"/>
      <c r="E3885" s="2"/>
      <c r="F3885" s="2"/>
      <c r="G3885" s="4"/>
      <c r="H3885" s="4"/>
    </row>
    <row r="3886">
      <c r="A3886" s="2"/>
      <c r="B3886" s="2"/>
      <c r="C3886" s="2"/>
      <c r="D3886" s="2"/>
      <c r="E3886" s="2"/>
      <c r="F3886" s="2"/>
      <c r="G3886" s="4"/>
      <c r="H3886" s="4"/>
    </row>
    <row r="3887">
      <c r="A3887" s="2"/>
      <c r="B3887" s="2"/>
      <c r="C3887" s="2"/>
      <c r="D3887" s="2"/>
      <c r="E3887" s="2"/>
      <c r="F3887" s="2"/>
      <c r="G3887" s="4"/>
      <c r="H3887" s="4"/>
    </row>
    <row r="3888">
      <c r="A3888" s="2"/>
      <c r="B3888" s="2"/>
      <c r="C3888" s="2"/>
      <c r="D3888" s="2"/>
      <c r="E3888" s="2"/>
      <c r="F3888" s="2"/>
      <c r="G3888" s="4"/>
      <c r="H3888" s="4"/>
    </row>
    <row r="3889">
      <c r="A3889" s="2"/>
      <c r="B3889" s="2"/>
      <c r="C3889" s="2"/>
      <c r="D3889" s="2"/>
      <c r="E3889" s="2"/>
      <c r="F3889" s="2"/>
      <c r="G3889" s="4"/>
      <c r="H3889" s="4"/>
    </row>
    <row r="3890">
      <c r="A3890" s="2"/>
      <c r="B3890" s="2"/>
      <c r="C3890" s="2"/>
      <c r="D3890" s="2"/>
      <c r="E3890" s="2"/>
      <c r="F3890" s="2"/>
      <c r="G3890" s="4"/>
      <c r="H3890" s="4"/>
    </row>
    <row r="3891">
      <c r="A3891" s="2"/>
      <c r="B3891" s="2"/>
      <c r="C3891" s="2"/>
      <c r="D3891" s="2"/>
      <c r="E3891" s="2"/>
      <c r="F3891" s="2"/>
      <c r="G3891" s="4"/>
      <c r="H3891" s="4"/>
    </row>
    <row r="3892">
      <c r="A3892" s="2"/>
      <c r="B3892" s="2"/>
      <c r="C3892" s="2"/>
      <c r="D3892" s="2"/>
      <c r="E3892" s="2"/>
      <c r="F3892" s="2"/>
      <c r="G3892" s="4"/>
      <c r="H3892" s="4"/>
    </row>
    <row r="3893">
      <c r="A3893" s="2"/>
      <c r="B3893" s="2"/>
      <c r="C3893" s="2"/>
      <c r="D3893" s="2"/>
      <c r="E3893" s="2"/>
      <c r="F3893" s="2"/>
      <c r="G3893" s="4"/>
      <c r="H3893" s="4"/>
    </row>
    <row r="3894">
      <c r="A3894" s="2"/>
      <c r="B3894" s="2"/>
      <c r="C3894" s="2"/>
      <c r="D3894" s="2"/>
      <c r="E3894" s="2"/>
      <c r="F3894" s="2"/>
      <c r="G3894" s="4"/>
      <c r="H3894" s="4"/>
    </row>
    <row r="3895">
      <c r="A3895" s="2"/>
      <c r="B3895" s="2"/>
      <c r="C3895" s="2"/>
      <c r="D3895" s="2"/>
      <c r="E3895" s="2"/>
      <c r="F3895" s="2"/>
      <c r="G3895" s="4"/>
      <c r="H3895" s="4"/>
    </row>
    <row r="3896">
      <c r="A3896" s="2"/>
      <c r="B3896" s="2"/>
      <c r="C3896" s="2"/>
      <c r="D3896" s="2"/>
      <c r="E3896" s="2"/>
      <c r="F3896" s="2"/>
      <c r="G3896" s="4"/>
      <c r="H3896" s="4"/>
    </row>
    <row r="3897">
      <c r="A3897" s="2"/>
      <c r="B3897" s="2"/>
      <c r="C3897" s="2"/>
      <c r="D3897" s="2"/>
      <c r="E3897" s="2"/>
      <c r="F3897" s="2"/>
      <c r="G3897" s="4"/>
      <c r="H3897" s="4"/>
    </row>
    <row r="3898">
      <c r="A3898" s="2"/>
      <c r="B3898" s="2"/>
      <c r="C3898" s="2"/>
      <c r="D3898" s="2"/>
      <c r="E3898" s="2"/>
      <c r="F3898" s="2"/>
      <c r="G3898" s="4"/>
      <c r="H3898" s="4"/>
    </row>
    <row r="3899">
      <c r="A3899" s="2"/>
      <c r="B3899" s="2"/>
      <c r="C3899" s="2"/>
      <c r="D3899" s="2"/>
      <c r="E3899" s="2"/>
      <c r="F3899" s="2"/>
      <c r="G3899" s="4"/>
      <c r="H3899" s="4"/>
    </row>
    <row r="3900">
      <c r="A3900" s="2"/>
      <c r="B3900" s="2"/>
      <c r="C3900" s="2"/>
      <c r="D3900" s="2"/>
      <c r="E3900" s="2"/>
      <c r="F3900" s="2"/>
      <c r="G3900" s="4"/>
      <c r="H3900" s="4"/>
    </row>
    <row r="3901">
      <c r="A3901" s="2"/>
      <c r="B3901" s="2"/>
      <c r="C3901" s="2"/>
      <c r="D3901" s="2"/>
      <c r="E3901" s="2"/>
      <c r="F3901" s="2"/>
      <c r="G3901" s="4"/>
      <c r="H3901" s="4"/>
    </row>
    <row r="3902">
      <c r="A3902" s="2"/>
      <c r="B3902" s="2"/>
      <c r="C3902" s="2"/>
      <c r="D3902" s="2"/>
      <c r="E3902" s="2"/>
      <c r="F3902" s="2"/>
      <c r="G3902" s="4"/>
      <c r="H3902" s="4"/>
    </row>
    <row r="3903">
      <c r="A3903" s="2"/>
      <c r="B3903" s="2"/>
      <c r="C3903" s="2"/>
      <c r="D3903" s="2"/>
      <c r="E3903" s="2"/>
      <c r="F3903" s="2"/>
      <c r="G3903" s="4"/>
      <c r="H3903" s="4"/>
    </row>
    <row r="3904">
      <c r="A3904" s="2"/>
      <c r="B3904" s="2"/>
      <c r="C3904" s="2"/>
      <c r="D3904" s="2"/>
      <c r="E3904" s="2"/>
      <c r="F3904" s="2"/>
      <c r="G3904" s="4"/>
      <c r="H3904" s="4"/>
    </row>
    <row r="3905">
      <c r="A3905" s="2"/>
      <c r="B3905" s="2"/>
      <c r="C3905" s="2"/>
      <c r="D3905" s="2"/>
      <c r="E3905" s="2"/>
      <c r="F3905" s="2"/>
      <c r="G3905" s="4"/>
      <c r="H3905" s="4"/>
    </row>
    <row r="3906">
      <c r="A3906" s="2"/>
      <c r="B3906" s="2"/>
      <c r="C3906" s="2"/>
      <c r="D3906" s="2"/>
      <c r="E3906" s="2"/>
      <c r="F3906" s="2"/>
      <c r="G3906" s="4"/>
      <c r="H3906" s="4"/>
    </row>
    <row r="3907">
      <c r="A3907" s="2"/>
      <c r="B3907" s="2"/>
      <c r="C3907" s="2"/>
      <c r="D3907" s="2"/>
      <c r="E3907" s="2"/>
      <c r="F3907" s="2"/>
      <c r="G3907" s="4"/>
      <c r="H3907" s="4"/>
    </row>
    <row r="3908">
      <c r="A3908" s="2"/>
      <c r="B3908" s="2"/>
      <c r="C3908" s="2"/>
      <c r="D3908" s="2"/>
      <c r="E3908" s="2"/>
      <c r="F3908" s="2"/>
      <c r="G3908" s="4"/>
      <c r="H3908" s="4"/>
    </row>
    <row r="3909">
      <c r="A3909" s="2"/>
      <c r="B3909" s="2"/>
      <c r="C3909" s="2"/>
      <c r="D3909" s="2"/>
      <c r="E3909" s="2"/>
      <c r="F3909" s="2"/>
      <c r="G3909" s="4"/>
      <c r="H3909" s="4"/>
    </row>
    <row r="3910">
      <c r="A3910" s="2"/>
      <c r="B3910" s="2"/>
      <c r="C3910" s="2"/>
      <c r="D3910" s="2"/>
      <c r="E3910" s="2"/>
      <c r="F3910" s="2"/>
      <c r="G3910" s="4"/>
      <c r="H3910" s="4"/>
    </row>
    <row r="3911">
      <c r="A3911" s="2"/>
      <c r="B3911" s="2"/>
      <c r="C3911" s="2"/>
      <c r="D3911" s="2"/>
      <c r="E3911" s="2"/>
      <c r="F3911" s="2"/>
      <c r="G3911" s="4"/>
      <c r="H3911" s="4"/>
    </row>
    <row r="3912">
      <c r="A3912" s="2"/>
      <c r="B3912" s="2"/>
      <c r="C3912" s="2"/>
      <c r="D3912" s="2"/>
      <c r="E3912" s="2"/>
      <c r="F3912" s="2"/>
      <c r="G3912" s="4"/>
      <c r="H3912" s="4"/>
    </row>
    <row r="3913">
      <c r="A3913" s="2"/>
      <c r="B3913" s="2"/>
      <c r="C3913" s="2"/>
      <c r="D3913" s="2"/>
      <c r="E3913" s="2"/>
      <c r="F3913" s="2"/>
      <c r="G3913" s="4"/>
      <c r="H3913" s="4"/>
    </row>
    <row r="3914">
      <c r="A3914" s="2"/>
      <c r="B3914" s="2"/>
      <c r="C3914" s="2"/>
      <c r="D3914" s="2"/>
      <c r="E3914" s="2"/>
      <c r="F3914" s="2"/>
      <c r="G3914" s="4"/>
      <c r="H3914" s="4"/>
    </row>
    <row r="3915">
      <c r="A3915" s="2"/>
      <c r="B3915" s="2"/>
      <c r="C3915" s="2"/>
      <c r="D3915" s="2"/>
      <c r="E3915" s="2"/>
      <c r="F3915" s="2"/>
      <c r="G3915" s="4"/>
      <c r="H3915" s="4"/>
    </row>
    <row r="3916">
      <c r="A3916" s="2"/>
      <c r="B3916" s="2"/>
      <c r="C3916" s="2"/>
      <c r="D3916" s="2"/>
      <c r="E3916" s="2"/>
      <c r="F3916" s="2"/>
      <c r="G3916" s="4"/>
      <c r="H3916" s="4"/>
    </row>
    <row r="3917">
      <c r="A3917" s="2"/>
      <c r="B3917" s="2"/>
      <c r="C3917" s="2"/>
      <c r="D3917" s="2"/>
      <c r="E3917" s="2"/>
      <c r="F3917" s="2"/>
      <c r="G3917" s="4"/>
      <c r="H3917" s="4"/>
    </row>
    <row r="3918">
      <c r="A3918" s="2"/>
      <c r="B3918" s="2"/>
      <c r="C3918" s="2"/>
      <c r="D3918" s="2"/>
      <c r="E3918" s="2"/>
      <c r="F3918" s="2"/>
      <c r="G3918" s="4"/>
      <c r="H3918" s="4"/>
    </row>
    <row r="3919">
      <c r="A3919" s="2"/>
      <c r="B3919" s="2"/>
      <c r="C3919" s="2"/>
      <c r="D3919" s="2"/>
      <c r="E3919" s="2"/>
      <c r="F3919" s="2"/>
      <c r="G3919" s="4"/>
      <c r="H3919" s="4"/>
    </row>
    <row r="3920">
      <c r="A3920" s="2"/>
      <c r="B3920" s="2"/>
      <c r="C3920" s="2"/>
      <c r="D3920" s="2"/>
      <c r="E3920" s="2"/>
      <c r="F3920" s="2"/>
      <c r="G3920" s="4"/>
      <c r="H3920" s="4"/>
    </row>
    <row r="3921">
      <c r="A3921" s="2"/>
      <c r="B3921" s="2"/>
      <c r="C3921" s="2"/>
      <c r="D3921" s="2"/>
      <c r="E3921" s="2"/>
      <c r="F3921" s="2"/>
      <c r="G3921" s="4"/>
      <c r="H3921" s="4"/>
    </row>
    <row r="3922">
      <c r="A3922" s="2"/>
      <c r="B3922" s="2"/>
      <c r="C3922" s="2"/>
      <c r="D3922" s="2"/>
      <c r="E3922" s="2"/>
      <c r="F3922" s="2"/>
      <c r="G3922" s="4"/>
      <c r="H3922" s="4"/>
    </row>
    <row r="3923">
      <c r="A3923" s="2"/>
      <c r="B3923" s="2"/>
      <c r="C3923" s="2"/>
      <c r="D3923" s="2"/>
      <c r="E3923" s="2"/>
      <c r="F3923" s="2"/>
      <c r="G3923" s="4"/>
      <c r="H3923" s="4"/>
    </row>
    <row r="3924">
      <c r="A3924" s="2"/>
      <c r="B3924" s="2"/>
      <c r="C3924" s="2"/>
      <c r="D3924" s="2"/>
      <c r="E3924" s="2"/>
      <c r="F3924" s="2"/>
      <c r="G3924" s="4"/>
      <c r="H3924" s="4"/>
    </row>
    <row r="3925">
      <c r="A3925" s="2"/>
      <c r="B3925" s="2"/>
      <c r="C3925" s="2"/>
      <c r="D3925" s="2"/>
      <c r="E3925" s="2"/>
      <c r="F3925" s="2"/>
      <c r="G3925" s="4"/>
      <c r="H3925" s="4"/>
    </row>
    <row r="3926">
      <c r="A3926" s="2"/>
      <c r="B3926" s="2"/>
      <c r="C3926" s="2"/>
      <c r="D3926" s="2"/>
      <c r="E3926" s="2"/>
      <c r="F3926" s="2"/>
      <c r="G3926" s="4"/>
      <c r="H3926" s="4"/>
    </row>
    <row r="3927">
      <c r="A3927" s="2"/>
      <c r="B3927" s="2"/>
      <c r="C3927" s="2"/>
      <c r="D3927" s="2"/>
      <c r="E3927" s="2"/>
      <c r="F3927" s="2"/>
      <c r="G3927" s="4"/>
      <c r="H3927" s="4"/>
    </row>
    <row r="3928">
      <c r="A3928" s="2"/>
      <c r="B3928" s="2"/>
      <c r="C3928" s="2"/>
      <c r="D3928" s="2"/>
      <c r="E3928" s="2"/>
      <c r="F3928" s="2"/>
      <c r="G3928" s="4"/>
      <c r="H3928" s="4"/>
    </row>
    <row r="3929">
      <c r="A3929" s="2"/>
      <c r="B3929" s="2"/>
      <c r="C3929" s="2"/>
      <c r="D3929" s="2"/>
      <c r="E3929" s="2"/>
      <c r="F3929" s="2"/>
      <c r="G3929" s="4"/>
      <c r="H3929" s="4"/>
    </row>
    <row r="3930">
      <c r="A3930" s="2"/>
      <c r="B3930" s="2"/>
      <c r="C3930" s="2"/>
      <c r="D3930" s="2"/>
      <c r="E3930" s="2"/>
      <c r="F3930" s="2"/>
      <c r="G3930" s="4"/>
      <c r="H3930" s="4"/>
    </row>
    <row r="3931">
      <c r="A3931" s="2"/>
      <c r="B3931" s="2"/>
      <c r="C3931" s="2"/>
      <c r="D3931" s="2"/>
      <c r="E3931" s="2"/>
      <c r="F3931" s="2"/>
      <c r="G3931" s="4"/>
      <c r="H3931" s="4"/>
    </row>
    <row r="3932">
      <c r="A3932" s="2"/>
      <c r="B3932" s="2"/>
      <c r="C3932" s="2"/>
      <c r="D3932" s="2"/>
      <c r="E3932" s="2"/>
      <c r="F3932" s="2"/>
      <c r="G3932" s="4"/>
      <c r="H3932" s="4"/>
    </row>
    <row r="3933">
      <c r="A3933" s="2"/>
      <c r="B3933" s="2"/>
      <c r="C3933" s="2"/>
      <c r="D3933" s="2"/>
      <c r="E3933" s="2"/>
      <c r="F3933" s="2"/>
      <c r="G3933" s="4"/>
      <c r="H3933" s="4"/>
    </row>
    <row r="3934">
      <c r="A3934" s="2"/>
      <c r="B3934" s="2"/>
      <c r="C3934" s="2"/>
      <c r="D3934" s="2"/>
      <c r="E3934" s="2"/>
      <c r="F3934" s="2"/>
      <c r="G3934" s="4"/>
      <c r="H3934" s="4"/>
    </row>
    <row r="3935">
      <c r="A3935" s="2"/>
      <c r="B3935" s="2"/>
      <c r="C3935" s="2"/>
      <c r="D3935" s="2"/>
      <c r="E3935" s="2"/>
      <c r="F3935" s="2"/>
      <c r="G3935" s="4"/>
      <c r="H3935" s="4"/>
    </row>
    <row r="3936">
      <c r="A3936" s="2"/>
      <c r="B3936" s="2"/>
      <c r="C3936" s="2"/>
      <c r="D3936" s="2"/>
      <c r="E3936" s="2"/>
      <c r="F3936" s="2"/>
      <c r="G3936" s="4"/>
      <c r="H3936" s="4"/>
    </row>
    <row r="3937">
      <c r="A3937" s="2"/>
      <c r="B3937" s="2"/>
      <c r="C3937" s="2"/>
      <c r="D3937" s="2"/>
      <c r="E3937" s="2"/>
      <c r="F3937" s="2"/>
      <c r="G3937" s="4"/>
      <c r="H3937" s="4"/>
    </row>
    <row r="3938">
      <c r="A3938" s="2"/>
      <c r="B3938" s="2"/>
      <c r="C3938" s="2"/>
      <c r="D3938" s="2"/>
      <c r="E3938" s="2"/>
      <c r="F3938" s="2"/>
      <c r="G3938" s="4"/>
      <c r="H3938" s="4"/>
    </row>
    <row r="3939">
      <c r="A3939" s="2"/>
      <c r="B3939" s="2"/>
      <c r="C3939" s="2"/>
      <c r="D3939" s="2"/>
      <c r="E3939" s="2"/>
      <c r="F3939" s="2"/>
      <c r="G3939" s="4"/>
      <c r="H3939" s="4"/>
    </row>
    <row r="3940">
      <c r="A3940" s="2"/>
      <c r="B3940" s="2"/>
      <c r="C3940" s="2"/>
      <c r="D3940" s="2"/>
      <c r="E3940" s="2"/>
      <c r="F3940" s="2"/>
      <c r="G3940" s="4"/>
      <c r="H3940" s="4"/>
    </row>
    <row r="3941">
      <c r="A3941" s="2"/>
      <c r="B3941" s="2"/>
      <c r="C3941" s="2"/>
      <c r="D3941" s="2"/>
      <c r="E3941" s="2"/>
      <c r="F3941" s="2"/>
      <c r="G3941" s="4"/>
      <c r="H3941" s="4"/>
    </row>
    <row r="3942">
      <c r="A3942" s="2"/>
      <c r="B3942" s="2"/>
      <c r="C3942" s="2"/>
      <c r="D3942" s="2"/>
      <c r="E3942" s="2"/>
      <c r="F3942" s="2"/>
      <c r="G3942" s="4"/>
      <c r="H3942" s="4"/>
    </row>
    <row r="3943">
      <c r="A3943" s="2"/>
      <c r="B3943" s="2"/>
      <c r="C3943" s="2"/>
      <c r="D3943" s="2"/>
      <c r="E3943" s="2"/>
      <c r="F3943" s="2"/>
      <c r="G3943" s="4"/>
      <c r="H3943" s="4"/>
    </row>
    <row r="3944">
      <c r="A3944" s="2"/>
      <c r="B3944" s="2"/>
      <c r="C3944" s="2"/>
      <c r="D3944" s="2"/>
      <c r="E3944" s="2"/>
      <c r="F3944" s="2"/>
      <c r="G3944" s="4"/>
      <c r="H3944" s="4"/>
    </row>
    <row r="3945">
      <c r="A3945" s="2"/>
      <c r="B3945" s="2"/>
      <c r="C3945" s="2"/>
      <c r="D3945" s="2"/>
      <c r="E3945" s="2"/>
      <c r="F3945" s="2"/>
      <c r="G3945" s="4"/>
      <c r="H3945" s="4"/>
    </row>
    <row r="3946">
      <c r="A3946" s="2"/>
      <c r="B3946" s="2"/>
      <c r="C3946" s="2"/>
      <c r="D3946" s="2"/>
      <c r="E3946" s="2"/>
      <c r="F3946" s="2"/>
      <c r="G3946" s="4"/>
      <c r="H3946" s="4"/>
    </row>
    <row r="3947">
      <c r="A3947" s="2"/>
      <c r="B3947" s="2"/>
      <c r="C3947" s="2"/>
      <c r="D3947" s="2"/>
      <c r="E3947" s="2"/>
      <c r="F3947" s="2"/>
      <c r="G3947" s="4"/>
      <c r="H3947" s="4"/>
    </row>
    <row r="3948">
      <c r="A3948" s="2"/>
      <c r="B3948" s="2"/>
      <c r="C3948" s="2"/>
      <c r="D3948" s="2"/>
      <c r="E3948" s="2"/>
      <c r="F3948" s="2"/>
      <c r="G3948" s="4"/>
      <c r="H3948" s="4"/>
    </row>
    <row r="3949">
      <c r="A3949" s="2"/>
      <c r="B3949" s="2"/>
      <c r="C3949" s="2"/>
      <c r="D3949" s="2"/>
      <c r="E3949" s="2"/>
      <c r="F3949" s="2"/>
      <c r="G3949" s="4"/>
      <c r="H3949" s="4"/>
    </row>
    <row r="3950">
      <c r="A3950" s="2"/>
      <c r="B3950" s="2"/>
      <c r="C3950" s="2"/>
      <c r="D3950" s="2"/>
      <c r="E3950" s="2"/>
      <c r="F3950" s="2"/>
      <c r="G3950" s="4"/>
      <c r="H3950" s="4"/>
    </row>
    <row r="3951">
      <c r="A3951" s="2"/>
      <c r="B3951" s="2"/>
      <c r="C3951" s="2"/>
      <c r="D3951" s="2"/>
      <c r="E3951" s="2"/>
      <c r="F3951" s="2"/>
      <c r="G3951" s="4"/>
      <c r="H3951" s="4"/>
    </row>
    <row r="3952">
      <c r="A3952" s="2"/>
      <c r="B3952" s="2"/>
      <c r="C3952" s="2"/>
      <c r="D3952" s="2"/>
      <c r="E3952" s="2"/>
      <c r="F3952" s="2"/>
      <c r="G3952" s="4"/>
      <c r="H3952" s="4"/>
    </row>
    <row r="3953">
      <c r="A3953" s="2"/>
      <c r="B3953" s="2"/>
      <c r="C3953" s="2"/>
      <c r="D3953" s="2"/>
      <c r="E3953" s="2"/>
      <c r="F3953" s="2"/>
      <c r="G3953" s="4"/>
      <c r="H3953" s="4"/>
    </row>
    <row r="3954">
      <c r="A3954" s="2"/>
      <c r="B3954" s="2"/>
      <c r="C3954" s="2"/>
      <c r="D3954" s="2"/>
      <c r="E3954" s="2"/>
      <c r="F3954" s="2"/>
      <c r="G3954" s="4"/>
      <c r="H3954" s="4"/>
    </row>
    <row r="3955">
      <c r="A3955" s="2"/>
      <c r="B3955" s="2"/>
      <c r="C3955" s="2"/>
      <c r="D3955" s="2"/>
      <c r="E3955" s="2"/>
      <c r="F3955" s="2"/>
      <c r="G3955" s="4"/>
      <c r="H3955" s="4"/>
    </row>
    <row r="3956">
      <c r="A3956" s="2"/>
      <c r="B3956" s="2"/>
      <c r="C3956" s="2"/>
      <c r="D3956" s="2"/>
      <c r="E3956" s="2"/>
      <c r="F3956" s="2"/>
      <c r="G3956" s="4"/>
      <c r="H3956" s="4"/>
    </row>
    <row r="3957">
      <c r="A3957" s="2"/>
      <c r="B3957" s="2"/>
      <c r="C3957" s="2"/>
      <c r="D3957" s="2"/>
      <c r="E3957" s="2"/>
      <c r="F3957" s="2"/>
      <c r="G3957" s="4"/>
      <c r="H3957" s="4"/>
    </row>
    <row r="3958">
      <c r="A3958" s="2"/>
      <c r="B3958" s="2"/>
      <c r="C3958" s="2"/>
      <c r="D3958" s="2"/>
      <c r="E3958" s="2"/>
      <c r="F3958" s="2"/>
      <c r="G3958" s="4"/>
      <c r="H3958" s="4"/>
    </row>
    <row r="3959">
      <c r="A3959" s="2"/>
      <c r="B3959" s="2"/>
      <c r="C3959" s="2"/>
      <c r="D3959" s="2"/>
      <c r="E3959" s="2"/>
      <c r="F3959" s="2"/>
      <c r="G3959" s="4"/>
      <c r="H3959" s="4"/>
    </row>
    <row r="3960">
      <c r="A3960" s="2"/>
      <c r="B3960" s="2"/>
      <c r="C3960" s="2"/>
      <c r="D3960" s="2"/>
      <c r="E3960" s="2"/>
      <c r="F3960" s="2"/>
      <c r="G3960" s="4"/>
      <c r="H3960" s="4"/>
    </row>
    <row r="3961">
      <c r="A3961" s="2"/>
      <c r="B3961" s="2"/>
      <c r="C3961" s="2"/>
      <c r="D3961" s="2"/>
      <c r="E3961" s="2"/>
      <c r="F3961" s="2"/>
      <c r="G3961" s="4"/>
      <c r="H3961" s="4"/>
    </row>
    <row r="3962">
      <c r="A3962" s="2"/>
      <c r="B3962" s="2"/>
      <c r="C3962" s="2"/>
      <c r="D3962" s="2"/>
      <c r="E3962" s="2"/>
      <c r="F3962" s="2"/>
      <c r="G3962" s="4"/>
      <c r="H3962" s="4"/>
    </row>
    <row r="3963">
      <c r="A3963" s="2"/>
      <c r="B3963" s="2"/>
      <c r="C3963" s="2"/>
      <c r="D3963" s="2"/>
      <c r="E3963" s="2"/>
      <c r="F3963" s="2"/>
      <c r="G3963" s="4"/>
      <c r="H3963" s="4"/>
    </row>
    <row r="3964">
      <c r="A3964" s="2"/>
      <c r="B3964" s="2"/>
      <c r="C3964" s="2"/>
      <c r="D3964" s="2"/>
      <c r="E3964" s="2"/>
      <c r="F3964" s="2"/>
      <c r="G3964" s="4"/>
      <c r="H3964" s="4"/>
    </row>
    <row r="3965">
      <c r="A3965" s="2"/>
      <c r="B3965" s="2"/>
      <c r="C3965" s="2"/>
      <c r="D3965" s="2"/>
      <c r="E3965" s="2"/>
      <c r="F3965" s="2"/>
      <c r="G3965" s="4"/>
      <c r="H3965" s="4"/>
    </row>
    <row r="3966">
      <c r="A3966" s="2"/>
      <c r="B3966" s="2"/>
      <c r="C3966" s="2"/>
      <c r="D3966" s="2"/>
      <c r="E3966" s="2"/>
      <c r="F3966" s="2"/>
      <c r="G3966" s="4"/>
      <c r="H3966" s="4"/>
    </row>
    <row r="3967">
      <c r="A3967" s="2"/>
      <c r="B3967" s="2"/>
      <c r="C3967" s="2"/>
      <c r="D3967" s="2"/>
      <c r="E3967" s="2"/>
      <c r="F3967" s="2"/>
      <c r="G3967" s="4"/>
      <c r="H3967" s="4"/>
    </row>
    <row r="3968">
      <c r="A3968" s="2"/>
      <c r="B3968" s="2"/>
      <c r="C3968" s="2"/>
      <c r="D3968" s="2"/>
      <c r="E3968" s="2"/>
      <c r="F3968" s="2"/>
      <c r="G3968" s="4"/>
      <c r="H3968" s="4"/>
    </row>
    <row r="3969">
      <c r="A3969" s="2"/>
      <c r="B3969" s="2"/>
      <c r="C3969" s="2"/>
      <c r="D3969" s="2"/>
      <c r="E3969" s="2"/>
      <c r="F3969" s="2"/>
      <c r="G3969" s="4"/>
      <c r="H3969" s="4"/>
    </row>
    <row r="3970">
      <c r="A3970" s="2"/>
      <c r="B3970" s="2"/>
      <c r="C3970" s="2"/>
      <c r="D3970" s="2"/>
      <c r="E3970" s="2"/>
      <c r="F3970" s="2"/>
      <c r="G3970" s="4"/>
      <c r="H3970" s="4"/>
    </row>
    <row r="3971">
      <c r="A3971" s="2"/>
      <c r="B3971" s="2"/>
      <c r="C3971" s="2"/>
      <c r="D3971" s="2"/>
      <c r="E3971" s="2"/>
      <c r="F3971" s="2"/>
      <c r="G3971" s="4"/>
      <c r="H3971" s="4"/>
    </row>
    <row r="3972">
      <c r="A3972" s="2"/>
      <c r="B3972" s="2"/>
      <c r="C3972" s="2"/>
      <c r="D3972" s="2"/>
      <c r="E3972" s="2"/>
      <c r="F3972" s="2"/>
      <c r="G3972" s="4"/>
      <c r="H3972" s="4"/>
    </row>
    <row r="3973">
      <c r="A3973" s="2"/>
      <c r="B3973" s="2"/>
      <c r="C3973" s="2"/>
      <c r="D3973" s="2"/>
      <c r="E3973" s="2"/>
      <c r="F3973" s="2"/>
      <c r="G3973" s="4"/>
      <c r="H3973" s="4"/>
    </row>
    <row r="3974">
      <c r="A3974" s="2"/>
      <c r="B3974" s="2"/>
      <c r="C3974" s="2"/>
      <c r="D3974" s="2"/>
      <c r="E3974" s="2"/>
      <c r="F3974" s="2"/>
      <c r="G3974" s="4"/>
      <c r="H3974" s="4"/>
    </row>
    <row r="3975">
      <c r="A3975" s="2"/>
      <c r="B3975" s="2"/>
      <c r="C3975" s="2"/>
      <c r="D3975" s="2"/>
      <c r="E3975" s="2"/>
      <c r="F3975" s="2"/>
      <c r="G3975" s="4"/>
      <c r="H3975" s="4"/>
    </row>
    <row r="3976">
      <c r="A3976" s="2"/>
      <c r="B3976" s="2"/>
      <c r="C3976" s="2"/>
      <c r="D3976" s="2"/>
      <c r="E3976" s="2"/>
      <c r="F3976" s="2"/>
      <c r="G3976" s="4"/>
      <c r="H3976" s="4"/>
    </row>
    <row r="3977">
      <c r="A3977" s="2"/>
      <c r="B3977" s="2"/>
      <c r="C3977" s="2"/>
      <c r="D3977" s="2"/>
      <c r="E3977" s="2"/>
      <c r="F3977" s="2"/>
      <c r="G3977" s="4"/>
      <c r="H3977" s="4"/>
    </row>
    <row r="3978">
      <c r="A3978" s="2"/>
      <c r="B3978" s="2"/>
      <c r="C3978" s="2"/>
      <c r="D3978" s="2"/>
      <c r="E3978" s="2"/>
      <c r="F3978" s="2"/>
      <c r="G3978" s="4"/>
      <c r="H3978" s="4"/>
    </row>
    <row r="3979">
      <c r="A3979" s="2"/>
      <c r="B3979" s="2"/>
      <c r="C3979" s="2"/>
      <c r="D3979" s="2"/>
      <c r="E3979" s="2"/>
      <c r="F3979" s="2"/>
      <c r="G3979" s="4"/>
      <c r="H3979" s="4"/>
    </row>
    <row r="3980">
      <c r="A3980" s="2"/>
      <c r="B3980" s="2"/>
      <c r="C3980" s="2"/>
      <c r="D3980" s="2"/>
      <c r="E3980" s="2"/>
      <c r="F3980" s="2"/>
      <c r="G3980" s="4"/>
      <c r="H3980" s="4"/>
    </row>
    <row r="3981">
      <c r="A3981" s="2"/>
      <c r="B3981" s="2"/>
      <c r="C3981" s="2"/>
      <c r="D3981" s="2"/>
      <c r="E3981" s="2"/>
      <c r="F3981" s="2"/>
      <c r="G3981" s="4"/>
      <c r="H3981" s="4"/>
    </row>
    <row r="3982">
      <c r="A3982" s="2"/>
      <c r="B3982" s="2"/>
      <c r="C3982" s="2"/>
      <c r="D3982" s="2"/>
      <c r="E3982" s="2"/>
      <c r="F3982" s="2"/>
      <c r="G3982" s="4"/>
      <c r="H3982" s="4"/>
    </row>
    <row r="3983">
      <c r="A3983" s="2"/>
      <c r="B3983" s="2"/>
      <c r="C3983" s="2"/>
      <c r="D3983" s="2"/>
      <c r="E3983" s="2"/>
      <c r="F3983" s="2"/>
      <c r="G3983" s="4"/>
      <c r="H3983" s="4"/>
    </row>
    <row r="3984">
      <c r="A3984" s="2"/>
      <c r="B3984" s="2"/>
      <c r="C3984" s="2"/>
      <c r="D3984" s="2"/>
      <c r="E3984" s="2"/>
      <c r="F3984" s="2"/>
      <c r="G3984" s="4"/>
      <c r="H3984" s="4"/>
    </row>
    <row r="3985">
      <c r="A3985" s="2"/>
      <c r="B3985" s="2"/>
      <c r="C3985" s="2"/>
      <c r="D3985" s="2"/>
      <c r="E3985" s="2"/>
      <c r="F3985" s="2"/>
      <c r="G3985" s="4"/>
      <c r="H3985" s="4"/>
    </row>
    <row r="3986">
      <c r="A3986" s="2"/>
      <c r="B3986" s="2"/>
      <c r="C3986" s="2"/>
      <c r="D3986" s="2"/>
      <c r="E3986" s="2"/>
      <c r="F3986" s="2"/>
      <c r="G3986" s="4"/>
      <c r="H3986" s="4"/>
    </row>
    <row r="3987">
      <c r="A3987" s="2"/>
      <c r="B3987" s="2"/>
      <c r="C3987" s="2"/>
      <c r="D3987" s="2"/>
      <c r="E3987" s="2"/>
      <c r="F3987" s="2"/>
      <c r="G3987" s="4"/>
      <c r="H3987" s="4"/>
    </row>
    <row r="3988">
      <c r="A3988" s="2"/>
      <c r="B3988" s="2"/>
      <c r="C3988" s="2"/>
      <c r="D3988" s="2"/>
      <c r="E3988" s="2"/>
      <c r="F3988" s="2"/>
      <c r="G3988" s="4"/>
      <c r="H3988" s="4"/>
    </row>
    <row r="3989">
      <c r="A3989" s="2"/>
      <c r="B3989" s="2"/>
      <c r="C3989" s="2"/>
      <c r="D3989" s="2"/>
      <c r="E3989" s="2"/>
      <c r="F3989" s="2"/>
      <c r="G3989" s="4"/>
      <c r="H3989" s="4"/>
    </row>
    <row r="3990">
      <c r="A3990" s="2"/>
      <c r="B3990" s="2"/>
      <c r="C3990" s="2"/>
      <c r="D3990" s="2"/>
      <c r="E3990" s="2"/>
      <c r="F3990" s="2"/>
      <c r="G3990" s="4"/>
      <c r="H3990" s="4"/>
    </row>
    <row r="3991">
      <c r="A3991" s="2"/>
      <c r="B3991" s="2"/>
      <c r="C3991" s="2"/>
      <c r="D3991" s="2"/>
      <c r="E3991" s="2"/>
      <c r="F3991" s="2"/>
      <c r="G3991" s="4"/>
      <c r="H3991" s="4"/>
    </row>
    <row r="3992">
      <c r="A3992" s="2"/>
      <c r="B3992" s="2"/>
      <c r="C3992" s="2"/>
      <c r="D3992" s="2"/>
      <c r="E3992" s="2"/>
      <c r="F3992" s="2"/>
      <c r="G3992" s="4"/>
      <c r="H3992" s="4"/>
    </row>
    <row r="3993">
      <c r="A3993" s="2"/>
      <c r="B3993" s="2"/>
      <c r="C3993" s="2"/>
      <c r="D3993" s="2"/>
      <c r="E3993" s="2"/>
      <c r="F3993" s="2"/>
      <c r="G3993" s="4"/>
      <c r="H3993" s="4"/>
    </row>
    <row r="3994">
      <c r="A3994" s="2"/>
      <c r="B3994" s="2"/>
      <c r="C3994" s="2"/>
      <c r="D3994" s="2"/>
      <c r="E3994" s="2"/>
      <c r="F3994" s="2"/>
      <c r="G3994" s="4"/>
      <c r="H3994" s="4"/>
    </row>
    <row r="3995">
      <c r="A3995" s="2"/>
      <c r="B3995" s="2"/>
      <c r="C3995" s="2"/>
      <c r="D3995" s="2"/>
      <c r="E3995" s="2"/>
      <c r="F3995" s="2"/>
      <c r="G3995" s="4"/>
      <c r="H3995" s="4"/>
    </row>
    <row r="3996">
      <c r="A3996" s="2"/>
      <c r="B3996" s="2"/>
      <c r="C3996" s="2"/>
      <c r="D3996" s="2"/>
      <c r="E3996" s="2"/>
      <c r="F3996" s="2"/>
      <c r="G3996" s="4"/>
      <c r="H3996" s="4"/>
    </row>
    <row r="3997">
      <c r="A3997" s="2"/>
      <c r="B3997" s="2"/>
      <c r="C3997" s="2"/>
      <c r="D3997" s="2"/>
      <c r="E3997" s="2"/>
      <c r="F3997" s="2"/>
      <c r="G3997" s="4"/>
      <c r="H3997" s="4"/>
    </row>
    <row r="3998">
      <c r="A3998" s="2"/>
      <c r="B3998" s="2"/>
      <c r="C3998" s="2"/>
      <c r="D3998" s="2"/>
      <c r="E3998" s="2"/>
      <c r="F3998" s="2"/>
      <c r="G3998" s="4"/>
      <c r="H3998" s="4"/>
    </row>
    <row r="3999">
      <c r="A3999" s="2"/>
      <c r="B3999" s="2"/>
      <c r="C3999" s="2"/>
      <c r="D3999" s="2"/>
      <c r="E3999" s="2"/>
      <c r="F3999" s="2"/>
      <c r="G3999" s="4"/>
      <c r="H3999" s="4"/>
    </row>
    <row r="4000">
      <c r="A4000" s="2"/>
      <c r="B4000" s="2"/>
      <c r="C4000" s="2"/>
      <c r="D4000" s="2"/>
      <c r="E4000" s="2"/>
      <c r="F4000" s="2"/>
      <c r="G4000" s="4"/>
      <c r="H4000" s="4"/>
    </row>
    <row r="4001">
      <c r="A4001" s="2"/>
      <c r="B4001" s="2"/>
      <c r="C4001" s="2"/>
      <c r="D4001" s="2"/>
      <c r="E4001" s="2"/>
      <c r="F4001" s="2"/>
      <c r="G4001" s="4"/>
      <c r="H4001" s="4"/>
    </row>
    <row r="4002">
      <c r="A4002" s="2"/>
      <c r="B4002" s="2"/>
      <c r="C4002" s="2"/>
      <c r="D4002" s="2"/>
      <c r="E4002" s="2"/>
      <c r="F4002" s="2"/>
      <c r="G4002" s="4"/>
      <c r="H4002" s="4"/>
    </row>
    <row r="4003">
      <c r="A4003" s="2"/>
      <c r="B4003" s="2"/>
      <c r="C4003" s="2"/>
      <c r="D4003" s="2"/>
      <c r="E4003" s="2"/>
      <c r="F4003" s="2"/>
      <c r="G4003" s="4"/>
      <c r="H4003" s="4"/>
    </row>
    <row r="4004">
      <c r="A4004" s="2"/>
      <c r="B4004" s="2"/>
      <c r="C4004" s="2"/>
      <c r="D4004" s="2"/>
      <c r="E4004" s="2"/>
      <c r="F4004" s="2"/>
      <c r="G4004" s="4"/>
      <c r="H4004" s="4"/>
    </row>
    <row r="4005">
      <c r="A4005" s="2"/>
      <c r="B4005" s="2"/>
      <c r="C4005" s="2"/>
      <c r="D4005" s="2"/>
      <c r="E4005" s="2"/>
      <c r="F4005" s="2"/>
      <c r="G4005" s="4"/>
      <c r="H4005" s="4"/>
    </row>
    <row r="4006">
      <c r="A4006" s="2"/>
      <c r="B4006" s="2"/>
      <c r="C4006" s="2"/>
      <c r="D4006" s="2"/>
      <c r="E4006" s="2"/>
      <c r="F4006" s="2"/>
      <c r="G4006" s="4"/>
      <c r="H4006" s="4"/>
    </row>
    <row r="4007">
      <c r="A4007" s="2"/>
      <c r="B4007" s="2"/>
      <c r="C4007" s="2"/>
      <c r="D4007" s="2"/>
      <c r="E4007" s="2"/>
      <c r="F4007" s="2"/>
      <c r="G4007" s="4"/>
      <c r="H4007" s="4"/>
    </row>
    <row r="4008">
      <c r="A4008" s="2"/>
      <c r="B4008" s="2"/>
      <c r="C4008" s="2"/>
      <c r="D4008" s="2"/>
      <c r="E4008" s="2"/>
      <c r="F4008" s="2"/>
      <c r="G4008" s="4"/>
      <c r="H4008" s="4"/>
    </row>
    <row r="4009">
      <c r="A4009" s="2"/>
      <c r="B4009" s="2"/>
      <c r="C4009" s="2"/>
      <c r="D4009" s="2"/>
      <c r="E4009" s="2"/>
      <c r="F4009" s="2"/>
      <c r="G4009" s="4"/>
      <c r="H4009" s="4"/>
    </row>
    <row r="4010">
      <c r="A4010" s="2"/>
      <c r="B4010" s="2"/>
      <c r="C4010" s="2"/>
      <c r="D4010" s="2"/>
      <c r="E4010" s="2"/>
      <c r="F4010" s="2"/>
      <c r="G4010" s="4"/>
      <c r="H4010" s="4"/>
    </row>
    <row r="4011">
      <c r="A4011" s="2"/>
      <c r="B4011" s="2"/>
      <c r="C4011" s="2"/>
      <c r="D4011" s="2"/>
      <c r="E4011" s="2"/>
      <c r="F4011" s="2"/>
      <c r="G4011" s="4"/>
      <c r="H4011" s="4"/>
    </row>
    <row r="4012">
      <c r="A4012" s="2"/>
      <c r="B4012" s="2"/>
      <c r="C4012" s="2"/>
      <c r="D4012" s="2"/>
      <c r="E4012" s="2"/>
      <c r="F4012" s="2"/>
      <c r="G4012" s="4"/>
      <c r="H4012" s="4"/>
    </row>
    <row r="4013">
      <c r="A4013" s="2"/>
      <c r="B4013" s="2"/>
      <c r="C4013" s="2"/>
      <c r="D4013" s="2"/>
      <c r="E4013" s="2"/>
      <c r="F4013" s="2"/>
      <c r="G4013" s="4"/>
      <c r="H4013" s="4"/>
    </row>
    <row r="4014">
      <c r="A4014" s="2"/>
      <c r="B4014" s="2"/>
      <c r="C4014" s="2"/>
      <c r="D4014" s="2"/>
      <c r="E4014" s="2"/>
      <c r="F4014" s="2"/>
      <c r="G4014" s="4"/>
      <c r="H4014" s="4"/>
    </row>
    <row r="4015">
      <c r="A4015" s="2"/>
      <c r="B4015" s="2"/>
      <c r="C4015" s="2"/>
      <c r="D4015" s="2"/>
      <c r="E4015" s="2"/>
      <c r="F4015" s="2"/>
      <c r="G4015" s="4"/>
      <c r="H4015" s="4"/>
    </row>
    <row r="4016">
      <c r="A4016" s="2"/>
      <c r="B4016" s="2"/>
      <c r="C4016" s="2"/>
      <c r="D4016" s="2"/>
      <c r="E4016" s="2"/>
      <c r="F4016" s="2"/>
      <c r="G4016" s="4"/>
      <c r="H4016" s="4"/>
    </row>
    <row r="4017">
      <c r="A4017" s="2"/>
      <c r="B4017" s="2"/>
      <c r="C4017" s="2"/>
      <c r="D4017" s="2"/>
      <c r="E4017" s="2"/>
      <c r="F4017" s="2"/>
      <c r="G4017" s="4"/>
      <c r="H4017" s="4"/>
    </row>
    <row r="4018">
      <c r="A4018" s="2"/>
      <c r="B4018" s="2"/>
      <c r="C4018" s="2"/>
      <c r="D4018" s="2"/>
      <c r="E4018" s="2"/>
      <c r="F4018" s="2"/>
      <c r="G4018" s="4"/>
      <c r="H4018" s="4"/>
    </row>
    <row r="4019">
      <c r="A4019" s="2"/>
      <c r="B4019" s="2"/>
      <c r="C4019" s="2"/>
      <c r="D4019" s="2"/>
      <c r="E4019" s="2"/>
      <c r="F4019" s="2"/>
      <c r="G4019" s="4"/>
      <c r="H4019" s="4"/>
    </row>
    <row r="4020">
      <c r="A4020" s="2"/>
      <c r="B4020" s="2"/>
      <c r="C4020" s="2"/>
      <c r="D4020" s="2"/>
      <c r="E4020" s="2"/>
      <c r="F4020" s="2"/>
      <c r="G4020" s="4"/>
      <c r="H4020" s="4"/>
    </row>
    <row r="4021">
      <c r="A4021" s="2"/>
      <c r="B4021" s="2"/>
      <c r="C4021" s="2"/>
      <c r="D4021" s="2"/>
      <c r="E4021" s="2"/>
      <c r="F4021" s="2"/>
      <c r="G4021" s="4"/>
      <c r="H4021" s="4"/>
    </row>
    <row r="4022">
      <c r="A4022" s="2"/>
      <c r="B4022" s="2"/>
      <c r="C4022" s="2"/>
      <c r="D4022" s="2"/>
      <c r="E4022" s="2"/>
      <c r="F4022" s="2"/>
      <c r="G4022" s="4"/>
      <c r="H4022" s="4"/>
    </row>
    <row r="4023">
      <c r="A4023" s="2"/>
      <c r="B4023" s="2"/>
      <c r="C4023" s="2"/>
      <c r="D4023" s="2"/>
      <c r="E4023" s="2"/>
      <c r="F4023" s="2"/>
      <c r="G4023" s="4"/>
      <c r="H4023" s="4"/>
    </row>
    <row r="4024">
      <c r="A4024" s="2"/>
      <c r="B4024" s="2"/>
      <c r="C4024" s="2"/>
      <c r="D4024" s="2"/>
      <c r="E4024" s="2"/>
      <c r="F4024" s="2"/>
      <c r="G4024" s="4"/>
      <c r="H4024" s="4"/>
    </row>
    <row r="4025">
      <c r="A4025" s="2"/>
      <c r="B4025" s="2"/>
      <c r="C4025" s="2"/>
      <c r="D4025" s="2"/>
      <c r="E4025" s="2"/>
      <c r="F4025" s="2"/>
      <c r="G4025" s="4"/>
      <c r="H4025" s="4"/>
    </row>
    <row r="4026">
      <c r="A4026" s="2"/>
      <c r="B4026" s="2"/>
      <c r="C4026" s="2"/>
      <c r="D4026" s="2"/>
      <c r="E4026" s="2"/>
      <c r="F4026" s="2"/>
      <c r="G4026" s="4"/>
      <c r="H4026" s="4"/>
    </row>
    <row r="4027">
      <c r="A4027" s="2"/>
      <c r="B4027" s="2"/>
      <c r="C4027" s="2"/>
      <c r="D4027" s="2"/>
      <c r="E4027" s="2"/>
      <c r="F4027" s="2"/>
      <c r="G4027" s="4"/>
      <c r="H4027" s="4"/>
    </row>
    <row r="4028">
      <c r="A4028" s="2"/>
      <c r="B4028" s="2"/>
      <c r="C4028" s="2"/>
      <c r="D4028" s="2"/>
      <c r="E4028" s="2"/>
      <c r="F4028" s="2"/>
      <c r="G4028" s="4"/>
      <c r="H4028" s="4"/>
    </row>
    <row r="4029">
      <c r="A4029" s="2"/>
      <c r="B4029" s="2"/>
      <c r="C4029" s="2"/>
      <c r="D4029" s="2"/>
      <c r="E4029" s="2"/>
      <c r="F4029" s="2"/>
      <c r="G4029" s="4"/>
      <c r="H4029" s="4"/>
    </row>
    <row r="4030">
      <c r="A4030" s="2"/>
      <c r="B4030" s="2"/>
      <c r="C4030" s="2"/>
      <c r="D4030" s="2"/>
      <c r="E4030" s="2"/>
      <c r="F4030" s="2"/>
      <c r="G4030" s="4"/>
      <c r="H4030" s="4"/>
    </row>
    <row r="4031">
      <c r="A4031" s="2"/>
      <c r="B4031" s="2"/>
      <c r="C4031" s="2"/>
      <c r="D4031" s="2"/>
      <c r="E4031" s="2"/>
      <c r="F4031" s="2"/>
      <c r="G4031" s="4"/>
      <c r="H4031" s="4"/>
    </row>
    <row r="4032">
      <c r="A4032" s="2"/>
      <c r="B4032" s="2"/>
      <c r="C4032" s="2"/>
      <c r="D4032" s="2"/>
      <c r="E4032" s="2"/>
      <c r="F4032" s="2"/>
      <c r="G4032" s="4"/>
      <c r="H4032" s="4"/>
    </row>
    <row r="4033">
      <c r="A4033" s="2"/>
      <c r="B4033" s="2"/>
      <c r="C4033" s="2"/>
      <c r="D4033" s="2"/>
      <c r="E4033" s="2"/>
      <c r="F4033" s="2"/>
      <c r="G4033" s="4"/>
      <c r="H4033" s="4"/>
    </row>
    <row r="4034">
      <c r="A4034" s="2"/>
      <c r="B4034" s="2"/>
      <c r="C4034" s="2"/>
      <c r="D4034" s="2"/>
      <c r="E4034" s="2"/>
      <c r="F4034" s="2"/>
      <c r="G4034" s="4"/>
      <c r="H4034" s="4"/>
    </row>
    <row r="4035">
      <c r="A4035" s="2"/>
      <c r="B4035" s="2"/>
      <c r="C4035" s="2"/>
      <c r="D4035" s="2"/>
      <c r="E4035" s="2"/>
      <c r="F4035" s="2"/>
      <c r="G4035" s="4"/>
      <c r="H4035" s="4"/>
    </row>
    <row r="4036">
      <c r="A4036" s="2"/>
      <c r="B4036" s="2"/>
      <c r="C4036" s="2"/>
      <c r="D4036" s="2"/>
      <c r="E4036" s="2"/>
      <c r="F4036" s="2"/>
      <c r="G4036" s="4"/>
      <c r="H4036" s="4"/>
    </row>
    <row r="4037">
      <c r="A4037" s="2"/>
      <c r="B4037" s="2"/>
      <c r="C4037" s="2"/>
      <c r="D4037" s="2"/>
      <c r="E4037" s="2"/>
      <c r="F4037" s="2"/>
      <c r="G4037" s="4"/>
      <c r="H4037" s="4"/>
    </row>
    <row r="4038">
      <c r="A4038" s="2"/>
      <c r="B4038" s="2"/>
      <c r="C4038" s="2"/>
      <c r="D4038" s="2"/>
      <c r="E4038" s="2"/>
      <c r="F4038" s="2"/>
      <c r="G4038" s="4"/>
      <c r="H4038" s="4"/>
    </row>
    <row r="4039">
      <c r="A4039" s="2"/>
      <c r="B4039" s="2"/>
      <c r="C4039" s="2"/>
      <c r="D4039" s="2"/>
      <c r="E4039" s="2"/>
      <c r="F4039" s="2"/>
      <c r="G4039" s="4"/>
      <c r="H4039" s="4"/>
    </row>
    <row r="4040">
      <c r="A4040" s="2"/>
      <c r="B4040" s="2"/>
      <c r="C4040" s="2"/>
      <c r="D4040" s="2"/>
      <c r="E4040" s="2"/>
      <c r="F4040" s="2"/>
      <c r="G4040" s="4"/>
      <c r="H4040" s="4"/>
    </row>
    <row r="4041">
      <c r="A4041" s="2"/>
      <c r="B4041" s="2"/>
      <c r="C4041" s="2"/>
      <c r="D4041" s="2"/>
      <c r="E4041" s="2"/>
      <c r="F4041" s="2"/>
      <c r="G4041" s="4"/>
      <c r="H4041" s="4"/>
    </row>
    <row r="4042">
      <c r="A4042" s="2"/>
      <c r="B4042" s="2"/>
      <c r="C4042" s="2"/>
      <c r="D4042" s="2"/>
      <c r="E4042" s="2"/>
      <c r="F4042" s="2"/>
      <c r="G4042" s="4"/>
      <c r="H4042" s="4"/>
    </row>
    <row r="4043">
      <c r="A4043" s="2"/>
      <c r="B4043" s="2"/>
      <c r="C4043" s="2"/>
      <c r="D4043" s="2"/>
      <c r="E4043" s="2"/>
      <c r="F4043" s="2"/>
      <c r="G4043" s="4"/>
      <c r="H4043" s="4"/>
    </row>
    <row r="4044">
      <c r="A4044" s="2"/>
      <c r="B4044" s="2"/>
      <c r="C4044" s="2"/>
      <c r="D4044" s="2"/>
      <c r="E4044" s="2"/>
      <c r="F4044" s="2"/>
      <c r="G4044" s="4"/>
      <c r="H4044" s="4"/>
    </row>
    <row r="4045">
      <c r="A4045" s="2"/>
      <c r="B4045" s="2"/>
      <c r="C4045" s="2"/>
      <c r="D4045" s="2"/>
      <c r="E4045" s="2"/>
      <c r="F4045" s="2"/>
      <c r="G4045" s="4"/>
      <c r="H4045" s="4"/>
    </row>
    <row r="4046">
      <c r="A4046" s="2"/>
      <c r="B4046" s="2"/>
      <c r="C4046" s="2"/>
      <c r="D4046" s="2"/>
      <c r="E4046" s="2"/>
      <c r="F4046" s="2"/>
      <c r="G4046" s="4"/>
      <c r="H4046" s="4"/>
    </row>
    <row r="4047">
      <c r="A4047" s="2"/>
      <c r="B4047" s="2"/>
      <c r="C4047" s="2"/>
      <c r="D4047" s="2"/>
      <c r="E4047" s="2"/>
      <c r="F4047" s="2"/>
      <c r="G4047" s="4"/>
      <c r="H4047" s="4"/>
    </row>
    <row r="4048">
      <c r="A4048" s="2"/>
      <c r="B4048" s="2"/>
      <c r="C4048" s="2"/>
      <c r="D4048" s="2"/>
      <c r="E4048" s="2"/>
      <c r="F4048" s="2"/>
      <c r="G4048" s="4"/>
      <c r="H4048" s="4"/>
    </row>
    <row r="4049">
      <c r="A4049" s="2"/>
      <c r="B4049" s="2"/>
      <c r="C4049" s="2"/>
      <c r="D4049" s="2"/>
      <c r="E4049" s="2"/>
      <c r="F4049" s="2"/>
      <c r="G4049" s="4"/>
      <c r="H4049" s="4"/>
    </row>
    <row r="4050">
      <c r="A4050" s="2"/>
      <c r="B4050" s="2"/>
      <c r="C4050" s="2"/>
      <c r="D4050" s="2"/>
      <c r="E4050" s="2"/>
      <c r="F4050" s="2"/>
      <c r="G4050" s="4"/>
      <c r="H4050" s="4"/>
    </row>
    <row r="4051">
      <c r="A4051" s="2"/>
      <c r="B4051" s="2"/>
      <c r="C4051" s="2"/>
      <c r="D4051" s="2"/>
      <c r="E4051" s="2"/>
      <c r="F4051" s="2"/>
      <c r="G4051" s="4"/>
      <c r="H4051" s="4"/>
    </row>
    <row r="4052">
      <c r="A4052" s="2"/>
      <c r="B4052" s="2"/>
      <c r="C4052" s="2"/>
      <c r="D4052" s="2"/>
      <c r="E4052" s="2"/>
      <c r="F4052" s="2"/>
      <c r="G4052" s="4"/>
      <c r="H4052" s="4"/>
    </row>
    <row r="4053">
      <c r="A4053" s="2"/>
      <c r="B4053" s="2"/>
      <c r="C4053" s="2"/>
      <c r="D4053" s="2"/>
      <c r="E4053" s="2"/>
      <c r="F4053" s="2"/>
      <c r="G4053" s="4"/>
      <c r="H4053" s="4"/>
    </row>
    <row r="4054">
      <c r="A4054" s="2"/>
      <c r="B4054" s="2"/>
      <c r="C4054" s="2"/>
      <c r="D4054" s="2"/>
      <c r="E4054" s="2"/>
      <c r="F4054" s="2"/>
      <c r="G4054" s="4"/>
      <c r="H4054" s="4"/>
    </row>
    <row r="4055">
      <c r="A4055" s="2"/>
      <c r="B4055" s="2"/>
      <c r="C4055" s="2"/>
      <c r="D4055" s="2"/>
      <c r="E4055" s="2"/>
      <c r="F4055" s="2"/>
      <c r="G4055" s="4"/>
      <c r="H4055" s="4"/>
    </row>
    <row r="4056">
      <c r="A4056" s="2"/>
      <c r="B4056" s="2"/>
      <c r="C4056" s="2"/>
      <c r="D4056" s="2"/>
      <c r="E4056" s="2"/>
      <c r="F4056" s="2"/>
      <c r="G4056" s="4"/>
      <c r="H4056" s="4"/>
    </row>
    <row r="4057">
      <c r="A4057" s="2"/>
      <c r="B4057" s="2"/>
      <c r="C4057" s="2"/>
      <c r="D4057" s="2"/>
      <c r="E4057" s="2"/>
      <c r="F4057" s="2"/>
      <c r="G4057" s="4"/>
      <c r="H4057" s="4"/>
    </row>
    <row r="4058">
      <c r="A4058" s="2"/>
      <c r="B4058" s="2"/>
      <c r="C4058" s="2"/>
      <c r="D4058" s="2"/>
      <c r="E4058" s="2"/>
      <c r="F4058" s="2"/>
      <c r="G4058" s="4"/>
      <c r="H4058" s="4"/>
    </row>
    <row r="4059">
      <c r="A4059" s="2"/>
      <c r="B4059" s="2"/>
      <c r="C4059" s="2"/>
      <c r="D4059" s="2"/>
      <c r="E4059" s="2"/>
      <c r="F4059" s="2"/>
      <c r="G4059" s="4"/>
      <c r="H4059" s="4"/>
    </row>
    <row r="4060">
      <c r="A4060" s="2"/>
      <c r="B4060" s="2"/>
      <c r="C4060" s="2"/>
      <c r="D4060" s="2"/>
      <c r="E4060" s="2"/>
      <c r="F4060" s="2"/>
      <c r="G4060" s="4"/>
      <c r="H4060" s="4"/>
    </row>
    <row r="4061">
      <c r="A4061" s="2"/>
      <c r="B4061" s="2"/>
      <c r="C4061" s="2"/>
      <c r="D4061" s="2"/>
      <c r="E4061" s="2"/>
      <c r="F4061" s="2"/>
      <c r="G4061" s="4"/>
      <c r="H4061" s="4"/>
    </row>
    <row r="4062">
      <c r="A4062" s="2"/>
      <c r="B4062" s="2"/>
      <c r="C4062" s="2"/>
      <c r="D4062" s="2"/>
      <c r="E4062" s="2"/>
      <c r="F4062" s="2"/>
      <c r="G4062" s="4"/>
      <c r="H4062" s="4"/>
    </row>
    <row r="4063">
      <c r="A4063" s="2"/>
      <c r="B4063" s="2"/>
      <c r="C4063" s="2"/>
      <c r="D4063" s="2"/>
      <c r="E4063" s="2"/>
      <c r="F4063" s="2"/>
      <c r="G4063" s="4"/>
      <c r="H4063" s="4"/>
    </row>
    <row r="4064">
      <c r="A4064" s="2"/>
      <c r="B4064" s="2"/>
      <c r="C4064" s="2"/>
      <c r="D4064" s="2"/>
      <c r="E4064" s="2"/>
      <c r="F4064" s="2"/>
      <c r="G4064" s="4"/>
      <c r="H4064" s="4"/>
    </row>
    <row r="4065">
      <c r="A4065" s="2"/>
      <c r="B4065" s="2"/>
      <c r="C4065" s="2"/>
      <c r="D4065" s="2"/>
      <c r="E4065" s="2"/>
      <c r="F4065" s="2"/>
      <c r="G4065" s="4"/>
      <c r="H4065" s="4"/>
    </row>
    <row r="4066">
      <c r="A4066" s="2"/>
      <c r="B4066" s="2"/>
      <c r="C4066" s="2"/>
      <c r="D4066" s="2"/>
      <c r="E4066" s="2"/>
      <c r="F4066" s="2"/>
      <c r="G4066" s="4"/>
      <c r="H4066" s="4"/>
    </row>
    <row r="4067">
      <c r="A4067" s="2"/>
      <c r="B4067" s="2"/>
      <c r="C4067" s="2"/>
      <c r="D4067" s="2"/>
      <c r="E4067" s="2"/>
      <c r="F4067" s="2"/>
      <c r="G4067" s="4"/>
      <c r="H4067" s="4"/>
    </row>
    <row r="4068">
      <c r="A4068" s="2"/>
      <c r="B4068" s="2"/>
      <c r="C4068" s="2"/>
      <c r="D4068" s="2"/>
      <c r="E4068" s="2"/>
      <c r="F4068" s="2"/>
      <c r="G4068" s="4"/>
      <c r="H4068" s="4"/>
    </row>
    <row r="4069">
      <c r="A4069" s="2"/>
      <c r="B4069" s="2"/>
      <c r="C4069" s="2"/>
      <c r="D4069" s="2"/>
      <c r="E4069" s="2"/>
      <c r="F4069" s="2"/>
      <c r="G4069" s="4"/>
      <c r="H4069" s="4"/>
    </row>
    <row r="4070">
      <c r="A4070" s="2"/>
      <c r="B4070" s="2"/>
      <c r="C4070" s="2"/>
      <c r="D4070" s="2"/>
      <c r="E4070" s="2"/>
      <c r="F4070" s="2"/>
      <c r="G4070" s="4"/>
      <c r="H4070" s="4"/>
    </row>
    <row r="4071">
      <c r="A4071" s="2"/>
      <c r="B4071" s="2"/>
      <c r="C4071" s="2"/>
      <c r="D4071" s="2"/>
      <c r="E4071" s="2"/>
      <c r="F4071" s="2"/>
      <c r="G4071" s="4"/>
      <c r="H4071" s="4"/>
    </row>
    <row r="4072">
      <c r="A4072" s="2"/>
      <c r="B4072" s="2"/>
      <c r="C4072" s="2"/>
      <c r="D4072" s="2"/>
      <c r="E4072" s="2"/>
      <c r="F4072" s="2"/>
      <c r="G4072" s="4"/>
      <c r="H4072" s="4"/>
    </row>
    <row r="4073">
      <c r="A4073" s="2"/>
      <c r="B4073" s="2"/>
      <c r="C4073" s="2"/>
      <c r="D4073" s="2"/>
      <c r="E4073" s="2"/>
      <c r="F4073" s="2"/>
      <c r="G4073" s="4"/>
      <c r="H4073" s="4"/>
    </row>
    <row r="4074">
      <c r="A4074" s="2"/>
      <c r="B4074" s="2"/>
      <c r="C4074" s="2"/>
      <c r="D4074" s="2"/>
      <c r="E4074" s="2"/>
      <c r="F4074" s="2"/>
      <c r="G4074" s="4"/>
      <c r="H4074" s="4"/>
    </row>
    <row r="4075">
      <c r="A4075" s="2"/>
      <c r="B4075" s="2"/>
      <c r="C4075" s="2"/>
      <c r="D4075" s="2"/>
      <c r="E4075" s="2"/>
      <c r="F4075" s="2"/>
      <c r="G4075" s="4"/>
      <c r="H4075" s="4"/>
    </row>
    <row r="4076">
      <c r="A4076" s="2"/>
      <c r="B4076" s="2"/>
      <c r="C4076" s="2"/>
      <c r="D4076" s="2"/>
      <c r="E4076" s="2"/>
      <c r="F4076" s="2"/>
      <c r="G4076" s="4"/>
      <c r="H4076" s="4"/>
    </row>
    <row r="4077">
      <c r="A4077" s="2"/>
      <c r="B4077" s="2"/>
      <c r="C4077" s="2"/>
      <c r="D4077" s="2"/>
      <c r="E4077" s="2"/>
      <c r="F4077" s="2"/>
      <c r="G4077" s="4"/>
      <c r="H4077" s="4"/>
    </row>
    <row r="4078">
      <c r="A4078" s="2"/>
      <c r="B4078" s="2"/>
      <c r="C4078" s="2"/>
      <c r="D4078" s="2"/>
      <c r="E4078" s="2"/>
      <c r="F4078" s="2"/>
      <c r="G4078" s="4"/>
      <c r="H4078" s="4"/>
    </row>
    <row r="4079">
      <c r="A4079" s="2"/>
      <c r="B4079" s="2"/>
      <c r="C4079" s="2"/>
      <c r="D4079" s="2"/>
      <c r="E4079" s="2"/>
      <c r="F4079" s="2"/>
      <c r="G4079" s="4"/>
      <c r="H4079" s="4"/>
    </row>
    <row r="4080">
      <c r="A4080" s="2"/>
      <c r="B4080" s="2"/>
      <c r="C4080" s="2"/>
      <c r="D4080" s="2"/>
      <c r="E4080" s="2"/>
      <c r="F4080" s="2"/>
      <c r="G4080" s="4"/>
      <c r="H4080" s="4"/>
    </row>
    <row r="4081">
      <c r="A4081" s="2"/>
      <c r="B4081" s="2"/>
      <c r="C4081" s="2"/>
      <c r="D4081" s="2"/>
      <c r="E4081" s="2"/>
      <c r="F4081" s="2"/>
      <c r="G4081" s="4"/>
      <c r="H4081" s="4"/>
    </row>
    <row r="4082">
      <c r="A4082" s="2"/>
      <c r="B4082" s="2"/>
      <c r="C4082" s="2"/>
      <c r="D4082" s="2"/>
      <c r="E4082" s="2"/>
      <c r="F4082" s="2"/>
      <c r="G4082" s="4"/>
      <c r="H4082" s="4"/>
    </row>
    <row r="4083">
      <c r="A4083" s="2"/>
      <c r="B4083" s="2"/>
      <c r="C4083" s="2"/>
      <c r="D4083" s="2"/>
      <c r="E4083" s="2"/>
      <c r="F4083" s="2"/>
      <c r="G4083" s="4"/>
      <c r="H4083" s="4"/>
    </row>
    <row r="4084">
      <c r="A4084" s="2"/>
      <c r="B4084" s="2"/>
      <c r="C4084" s="2"/>
      <c r="D4084" s="2"/>
      <c r="E4084" s="2"/>
      <c r="F4084" s="2"/>
      <c r="G4084" s="4"/>
      <c r="H4084" s="4"/>
    </row>
    <row r="4085">
      <c r="A4085" s="2"/>
      <c r="B4085" s="2"/>
      <c r="C4085" s="2"/>
      <c r="D4085" s="2"/>
      <c r="E4085" s="2"/>
      <c r="F4085" s="2"/>
      <c r="G4085" s="4"/>
      <c r="H4085" s="4"/>
    </row>
    <row r="4086">
      <c r="A4086" s="2"/>
      <c r="B4086" s="2"/>
      <c r="C4086" s="2"/>
      <c r="D4086" s="2"/>
      <c r="E4086" s="2"/>
      <c r="F4086" s="2"/>
      <c r="G4086" s="4"/>
      <c r="H4086" s="4"/>
    </row>
    <row r="4087">
      <c r="A4087" s="2"/>
      <c r="B4087" s="2"/>
      <c r="C4087" s="2"/>
      <c r="D4087" s="2"/>
      <c r="E4087" s="2"/>
      <c r="F4087" s="2"/>
      <c r="G4087" s="4"/>
      <c r="H4087" s="4"/>
    </row>
    <row r="4088">
      <c r="A4088" s="2"/>
      <c r="B4088" s="2"/>
      <c r="C4088" s="2"/>
      <c r="D4088" s="2"/>
      <c r="E4088" s="2"/>
      <c r="F4088" s="2"/>
      <c r="G4088" s="4"/>
      <c r="H4088" s="4"/>
    </row>
    <row r="4089">
      <c r="A4089" s="2"/>
      <c r="B4089" s="2"/>
      <c r="C4089" s="2"/>
      <c r="D4089" s="2"/>
      <c r="E4089" s="2"/>
      <c r="F4089" s="2"/>
      <c r="G4089" s="4"/>
      <c r="H4089" s="4"/>
    </row>
    <row r="4090">
      <c r="A4090" s="2"/>
      <c r="B4090" s="2"/>
      <c r="C4090" s="2"/>
      <c r="D4090" s="2"/>
      <c r="E4090" s="2"/>
      <c r="F4090" s="2"/>
      <c r="G4090" s="4"/>
      <c r="H4090" s="4"/>
    </row>
    <row r="4091">
      <c r="A4091" s="2"/>
      <c r="B4091" s="2"/>
      <c r="C4091" s="2"/>
      <c r="D4091" s="2"/>
      <c r="E4091" s="2"/>
      <c r="F4091" s="2"/>
      <c r="G4091" s="4"/>
      <c r="H4091" s="4"/>
    </row>
    <row r="4092">
      <c r="A4092" s="2"/>
      <c r="B4092" s="2"/>
      <c r="C4092" s="2"/>
      <c r="D4092" s="2"/>
      <c r="E4092" s="2"/>
      <c r="F4092" s="2"/>
      <c r="G4092" s="4"/>
      <c r="H4092" s="4"/>
    </row>
    <row r="4093">
      <c r="A4093" s="2"/>
      <c r="B4093" s="2"/>
      <c r="C4093" s="2"/>
      <c r="D4093" s="2"/>
      <c r="E4093" s="2"/>
      <c r="F4093" s="2"/>
      <c r="G4093" s="4"/>
      <c r="H4093" s="4"/>
    </row>
    <row r="4094">
      <c r="A4094" s="2"/>
      <c r="B4094" s="2"/>
      <c r="C4094" s="2"/>
      <c r="D4094" s="2"/>
      <c r="E4094" s="2"/>
      <c r="F4094" s="2"/>
      <c r="G4094" s="4"/>
      <c r="H4094" s="4"/>
    </row>
    <row r="4095">
      <c r="A4095" s="2"/>
      <c r="B4095" s="2"/>
      <c r="C4095" s="2"/>
      <c r="D4095" s="2"/>
      <c r="E4095" s="2"/>
      <c r="F4095" s="2"/>
      <c r="G4095" s="4"/>
      <c r="H4095" s="4"/>
    </row>
    <row r="4096">
      <c r="A4096" s="2"/>
      <c r="B4096" s="2"/>
      <c r="C4096" s="2"/>
      <c r="D4096" s="2"/>
      <c r="E4096" s="2"/>
      <c r="F4096" s="2"/>
      <c r="G4096" s="4"/>
      <c r="H4096" s="4"/>
    </row>
    <row r="4097">
      <c r="A4097" s="2"/>
      <c r="B4097" s="2"/>
      <c r="C4097" s="2"/>
      <c r="D4097" s="2"/>
      <c r="E4097" s="2"/>
      <c r="F4097" s="2"/>
      <c r="G4097" s="4"/>
      <c r="H4097" s="4"/>
    </row>
    <row r="4098">
      <c r="A4098" s="2"/>
      <c r="B4098" s="2"/>
      <c r="C4098" s="2"/>
      <c r="D4098" s="2"/>
      <c r="E4098" s="2"/>
      <c r="F4098" s="2"/>
      <c r="G4098" s="4"/>
      <c r="H4098" s="4"/>
    </row>
    <row r="4099">
      <c r="A4099" s="2"/>
      <c r="B4099" s="2"/>
      <c r="C4099" s="2"/>
      <c r="D4099" s="2"/>
      <c r="E4099" s="2"/>
      <c r="F4099" s="2"/>
      <c r="G4099" s="4"/>
      <c r="H4099" s="4"/>
    </row>
    <row r="4100">
      <c r="A4100" s="2"/>
      <c r="B4100" s="2"/>
      <c r="C4100" s="2"/>
      <c r="D4100" s="2"/>
      <c r="E4100" s="2"/>
      <c r="F4100" s="2"/>
      <c r="G4100" s="4"/>
      <c r="H4100" s="4"/>
    </row>
    <row r="4101">
      <c r="A4101" s="2"/>
      <c r="B4101" s="2"/>
      <c r="C4101" s="2"/>
      <c r="D4101" s="2"/>
      <c r="E4101" s="2"/>
      <c r="F4101" s="2"/>
      <c r="G4101" s="4"/>
      <c r="H4101" s="4"/>
    </row>
    <row r="4102">
      <c r="A4102" s="2"/>
      <c r="B4102" s="2"/>
      <c r="C4102" s="2"/>
      <c r="D4102" s="2"/>
      <c r="E4102" s="2"/>
      <c r="F4102" s="2"/>
      <c r="G4102" s="4"/>
      <c r="H4102" s="4"/>
    </row>
    <row r="4103">
      <c r="A4103" s="2"/>
      <c r="B4103" s="2"/>
      <c r="C4103" s="2"/>
      <c r="D4103" s="2"/>
      <c r="E4103" s="2"/>
      <c r="F4103" s="2"/>
      <c r="G4103" s="4"/>
      <c r="H4103" s="4"/>
    </row>
    <row r="4104">
      <c r="A4104" s="2"/>
      <c r="B4104" s="2"/>
      <c r="C4104" s="2"/>
      <c r="D4104" s="2"/>
      <c r="E4104" s="2"/>
      <c r="F4104" s="2"/>
      <c r="G4104" s="4"/>
      <c r="H4104" s="4"/>
    </row>
    <row r="4105">
      <c r="A4105" s="2"/>
      <c r="B4105" s="2"/>
      <c r="C4105" s="2"/>
      <c r="D4105" s="2"/>
      <c r="E4105" s="2"/>
      <c r="F4105" s="2"/>
      <c r="G4105" s="4"/>
      <c r="H4105" s="4"/>
    </row>
    <row r="4106">
      <c r="A4106" s="2"/>
      <c r="B4106" s="2"/>
      <c r="C4106" s="2"/>
      <c r="D4106" s="2"/>
      <c r="E4106" s="2"/>
      <c r="F4106" s="2"/>
      <c r="G4106" s="4"/>
      <c r="H4106" s="4"/>
    </row>
    <row r="4107">
      <c r="A4107" s="2"/>
      <c r="B4107" s="2"/>
      <c r="C4107" s="2"/>
      <c r="D4107" s="2"/>
      <c r="E4107" s="2"/>
      <c r="F4107" s="2"/>
      <c r="G4107" s="4"/>
      <c r="H4107" s="4"/>
    </row>
    <row r="4108">
      <c r="A4108" s="2"/>
      <c r="B4108" s="2"/>
      <c r="C4108" s="2"/>
      <c r="D4108" s="2"/>
      <c r="E4108" s="2"/>
      <c r="F4108" s="2"/>
      <c r="G4108" s="4"/>
      <c r="H4108" s="4"/>
    </row>
    <row r="4109">
      <c r="A4109" s="2"/>
      <c r="B4109" s="2"/>
      <c r="C4109" s="2"/>
      <c r="D4109" s="2"/>
      <c r="E4109" s="2"/>
      <c r="F4109" s="2"/>
      <c r="G4109" s="4"/>
      <c r="H4109" s="4"/>
    </row>
    <row r="4110">
      <c r="A4110" s="2"/>
      <c r="B4110" s="2"/>
      <c r="C4110" s="2"/>
      <c r="D4110" s="2"/>
      <c r="E4110" s="2"/>
      <c r="F4110" s="2"/>
      <c r="G4110" s="4"/>
      <c r="H4110" s="4"/>
    </row>
    <row r="4111">
      <c r="A4111" s="2"/>
      <c r="B4111" s="2"/>
      <c r="C4111" s="2"/>
      <c r="D4111" s="2"/>
      <c r="E4111" s="2"/>
      <c r="F4111" s="2"/>
      <c r="G4111" s="4"/>
      <c r="H4111" s="4"/>
    </row>
    <row r="4112">
      <c r="A4112" s="2"/>
      <c r="B4112" s="2"/>
      <c r="C4112" s="2"/>
      <c r="D4112" s="2"/>
      <c r="E4112" s="2"/>
      <c r="F4112" s="2"/>
      <c r="G4112" s="4"/>
      <c r="H4112" s="4"/>
    </row>
    <row r="4113">
      <c r="A4113" s="2"/>
      <c r="B4113" s="2"/>
      <c r="C4113" s="2"/>
      <c r="D4113" s="2"/>
      <c r="E4113" s="2"/>
      <c r="F4113" s="2"/>
      <c r="G4113" s="4"/>
      <c r="H4113" s="4"/>
    </row>
    <row r="4114">
      <c r="A4114" s="2"/>
      <c r="B4114" s="2"/>
      <c r="C4114" s="2"/>
      <c r="D4114" s="2"/>
      <c r="E4114" s="2"/>
      <c r="F4114" s="2"/>
      <c r="G4114" s="4"/>
      <c r="H4114" s="4"/>
    </row>
    <row r="4115">
      <c r="A4115" s="2"/>
      <c r="B4115" s="2"/>
      <c r="C4115" s="2"/>
      <c r="D4115" s="2"/>
      <c r="E4115" s="2"/>
      <c r="F4115" s="2"/>
      <c r="G4115" s="4"/>
      <c r="H4115" s="4"/>
    </row>
    <row r="4116">
      <c r="A4116" s="2"/>
      <c r="B4116" s="2"/>
      <c r="C4116" s="2"/>
      <c r="D4116" s="2"/>
      <c r="E4116" s="2"/>
      <c r="F4116" s="2"/>
      <c r="G4116" s="4"/>
      <c r="H4116" s="4"/>
    </row>
    <row r="4117">
      <c r="A4117" s="2"/>
      <c r="B4117" s="2"/>
      <c r="C4117" s="2"/>
      <c r="D4117" s="2"/>
      <c r="E4117" s="2"/>
      <c r="F4117" s="2"/>
      <c r="G4117" s="4"/>
      <c r="H4117" s="4"/>
    </row>
    <row r="4118">
      <c r="A4118" s="2"/>
      <c r="B4118" s="2"/>
      <c r="C4118" s="2"/>
      <c r="D4118" s="2"/>
      <c r="E4118" s="2"/>
      <c r="F4118" s="2"/>
      <c r="G4118" s="4"/>
      <c r="H4118" s="4"/>
    </row>
    <row r="4119">
      <c r="A4119" s="2"/>
      <c r="B4119" s="2"/>
      <c r="C4119" s="2"/>
      <c r="D4119" s="2"/>
      <c r="E4119" s="2"/>
      <c r="F4119" s="2"/>
      <c r="G4119" s="4"/>
      <c r="H4119" s="4"/>
    </row>
    <row r="4120">
      <c r="A4120" s="2"/>
      <c r="B4120" s="2"/>
      <c r="C4120" s="2"/>
      <c r="D4120" s="2"/>
      <c r="E4120" s="2"/>
      <c r="F4120" s="2"/>
      <c r="G4120" s="4"/>
      <c r="H4120" s="4"/>
    </row>
    <row r="4121">
      <c r="A4121" s="2"/>
      <c r="B4121" s="2"/>
      <c r="C4121" s="2"/>
      <c r="D4121" s="2"/>
      <c r="E4121" s="2"/>
      <c r="F4121" s="2"/>
      <c r="G4121" s="4"/>
      <c r="H4121" s="4"/>
    </row>
    <row r="4122">
      <c r="A4122" s="2"/>
      <c r="B4122" s="2"/>
      <c r="C4122" s="2"/>
      <c r="D4122" s="2"/>
      <c r="E4122" s="2"/>
      <c r="F4122" s="2"/>
      <c r="G4122" s="4"/>
      <c r="H4122" s="4"/>
    </row>
    <row r="4123">
      <c r="A4123" s="2"/>
      <c r="B4123" s="2"/>
      <c r="C4123" s="2"/>
      <c r="D4123" s="2"/>
      <c r="E4123" s="2"/>
      <c r="F4123" s="2"/>
      <c r="G4123" s="4"/>
      <c r="H4123" s="4"/>
    </row>
    <row r="4124">
      <c r="A4124" s="2"/>
      <c r="B4124" s="2"/>
      <c r="C4124" s="2"/>
      <c r="D4124" s="2"/>
      <c r="E4124" s="2"/>
      <c r="F4124" s="2"/>
      <c r="G4124" s="4"/>
      <c r="H4124" s="4"/>
    </row>
    <row r="4125">
      <c r="A4125" s="2"/>
      <c r="B4125" s="2"/>
      <c r="C4125" s="2"/>
      <c r="D4125" s="2"/>
      <c r="E4125" s="2"/>
      <c r="F4125" s="2"/>
      <c r="G4125" s="4"/>
      <c r="H4125" s="4"/>
    </row>
    <row r="4126">
      <c r="A4126" s="2"/>
      <c r="B4126" s="2"/>
      <c r="C4126" s="2"/>
      <c r="D4126" s="2"/>
      <c r="E4126" s="2"/>
      <c r="F4126" s="2"/>
      <c r="G4126" s="4"/>
      <c r="H4126" s="4"/>
    </row>
    <row r="4127">
      <c r="A4127" s="2"/>
      <c r="B4127" s="2"/>
      <c r="C4127" s="2"/>
      <c r="D4127" s="2"/>
      <c r="E4127" s="2"/>
      <c r="F4127" s="2"/>
      <c r="G4127" s="4"/>
      <c r="H4127" s="4"/>
    </row>
    <row r="4128">
      <c r="A4128" s="2"/>
      <c r="B4128" s="2"/>
      <c r="C4128" s="2"/>
      <c r="D4128" s="2"/>
      <c r="E4128" s="2"/>
      <c r="F4128" s="2"/>
      <c r="G4128" s="4"/>
      <c r="H4128" s="4"/>
    </row>
    <row r="4129">
      <c r="A4129" s="2"/>
      <c r="B4129" s="2"/>
      <c r="C4129" s="2"/>
      <c r="D4129" s="2"/>
      <c r="E4129" s="2"/>
      <c r="F4129" s="2"/>
      <c r="G4129" s="4"/>
      <c r="H4129" s="4"/>
    </row>
    <row r="4130">
      <c r="A4130" s="2"/>
      <c r="B4130" s="2"/>
      <c r="C4130" s="2"/>
      <c r="D4130" s="2"/>
      <c r="E4130" s="2"/>
      <c r="F4130" s="2"/>
      <c r="G4130" s="4"/>
      <c r="H4130" s="4"/>
    </row>
  </sheetData>
  <conditionalFormatting sqref="G2:H2">
    <cfRule type="notContainsBlanks" dxfId="0" priority="1">
      <formula>LEN(TRIM(G2))&gt;0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4.63"/>
  </cols>
  <sheetData>
    <row r="1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10" t="s">
        <v>8</v>
      </c>
      <c r="H1" s="11" t="s">
        <v>12</v>
      </c>
      <c r="I1" s="7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2">
        <v>0.08</v>
      </c>
      <c r="B2" s="12">
        <v>227.6</v>
      </c>
      <c r="C2" s="12">
        <v>2.8</v>
      </c>
      <c r="D2" s="12">
        <v>2.84</v>
      </c>
      <c r="E2" s="12">
        <v>0.15</v>
      </c>
      <c r="F2" s="12">
        <v>50.0</v>
      </c>
      <c r="G2" s="13">
        <v>44462.59375137731</v>
      </c>
      <c r="H2" s="14">
        <f>IFERROR(__xludf.DUMMYFUNCTION("SPLIT(G2, "","")"),44462.0)</f>
        <v>44462</v>
      </c>
      <c r="I2" s="15">
        <f>IFERROR(__xludf.DUMMYFUNCTION("""COMPUTED_VALUE"""),0.59375)</f>
        <v>0.59375</v>
      </c>
      <c r="J2" s="12">
        <v>9.4</v>
      </c>
      <c r="K2" s="12">
        <v>4.76</v>
      </c>
      <c r="L2" s="16">
        <v>2468.0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2">
        <v>0.08</v>
      </c>
      <c r="B3" s="12">
        <v>227.6</v>
      </c>
      <c r="C3" s="12">
        <v>2.8</v>
      </c>
      <c r="D3" s="12">
        <v>2.84</v>
      </c>
      <c r="E3" s="12">
        <v>0.15</v>
      </c>
      <c r="F3" s="12">
        <v>50.0</v>
      </c>
      <c r="G3" s="13">
        <v>44462.59379159722</v>
      </c>
      <c r="H3" s="14">
        <f>IFERROR(__xludf.DUMMYFUNCTION("SPLIT(G3, "", "")"),44462.0)</f>
        <v>44462</v>
      </c>
      <c r="I3" s="15">
        <f>IFERROR(__xludf.DUMMYFUNCTION("""COMPUTED_VALUE"""),0.5937962962962963)</f>
        <v>0.5937962963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2">
        <v>0.08</v>
      </c>
      <c r="B4" s="12">
        <v>227.7</v>
      </c>
      <c r="C4" s="12">
        <v>2.7</v>
      </c>
      <c r="D4" s="12">
        <v>2.84</v>
      </c>
      <c r="E4" s="12">
        <v>0.14</v>
      </c>
      <c r="F4" s="12">
        <v>50.0</v>
      </c>
      <c r="G4" s="13">
        <v>44462.59389048611</v>
      </c>
      <c r="H4" s="14">
        <f>IFERROR(__xludf.DUMMYFUNCTION("SPLIT(G4, "", "")"),44462.0)</f>
        <v>44462</v>
      </c>
      <c r="I4" s="15">
        <f>IFERROR(__xludf.DUMMYFUNCTION("""COMPUTED_VALUE"""),0.5938888888888889)</f>
        <v>0.5938888889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2">
        <v>0.08</v>
      </c>
      <c r="B5" s="12">
        <v>227.7</v>
      </c>
      <c r="C5" s="12">
        <v>2.7</v>
      </c>
      <c r="D5" s="12">
        <v>2.84</v>
      </c>
      <c r="E5" s="12">
        <v>0.14</v>
      </c>
      <c r="F5" s="12">
        <v>50.0</v>
      </c>
      <c r="G5" s="13">
        <v>44462.59398822917</v>
      </c>
      <c r="H5" s="14">
        <f>IFERROR(__xludf.DUMMYFUNCTION("SPLIT(G5, "", "")"),44462.0)</f>
        <v>44462</v>
      </c>
      <c r="I5" s="15">
        <f>IFERROR(__xludf.DUMMYFUNCTION("""COMPUTED_VALUE"""),0.5939930555555556)</f>
        <v>0.5939930556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2">
        <v>0.08</v>
      </c>
      <c r="B6" s="12">
        <v>227.8</v>
      </c>
      <c r="C6" s="12">
        <v>2.8</v>
      </c>
      <c r="D6" s="12">
        <v>2.84</v>
      </c>
      <c r="E6" s="12">
        <v>0.15</v>
      </c>
      <c r="F6" s="12">
        <v>50.0</v>
      </c>
      <c r="G6" s="13">
        <v>44462.59408530092</v>
      </c>
      <c r="H6" s="14">
        <f>IFERROR(__xludf.DUMMYFUNCTION("SPLIT(G6, "", "")"),44462.0)</f>
        <v>44462</v>
      </c>
      <c r="I6" s="15">
        <f>IFERROR(__xludf.DUMMYFUNCTION("""COMPUTED_VALUE"""),0.5940856481481481)</f>
        <v>0.5940856481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2">
        <v>0.08</v>
      </c>
      <c r="B7" s="12">
        <v>227.7</v>
      </c>
      <c r="C7" s="12">
        <v>2.7</v>
      </c>
      <c r="D7" s="12">
        <v>2.84</v>
      </c>
      <c r="E7" s="12">
        <v>0.14</v>
      </c>
      <c r="F7" s="12">
        <v>49.9</v>
      </c>
      <c r="G7" s="13">
        <v>44462.59418601852</v>
      </c>
      <c r="H7" s="14">
        <f>IFERROR(__xludf.DUMMYFUNCTION("SPLIT(G7, "", "")"),44462.0)</f>
        <v>44462</v>
      </c>
      <c r="I7" s="15">
        <f>IFERROR(__xludf.DUMMYFUNCTION("""COMPUTED_VALUE"""),0.5941898148148148)</f>
        <v>0.5941898148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2">
        <v>0.08</v>
      </c>
      <c r="B8" s="12">
        <v>227.5</v>
      </c>
      <c r="C8" s="12">
        <v>2.7</v>
      </c>
      <c r="D8" s="12">
        <v>2.84</v>
      </c>
      <c r="E8" s="12">
        <v>0.14</v>
      </c>
      <c r="F8" s="12">
        <v>50.0</v>
      </c>
      <c r="G8" s="13">
        <v>44462.59428635417</v>
      </c>
      <c r="H8" s="14">
        <f>IFERROR(__xludf.DUMMYFUNCTION("SPLIT(G8, "", "")"),44462.0)</f>
        <v>44462</v>
      </c>
      <c r="I8" s="15">
        <f>IFERROR(__xludf.DUMMYFUNCTION("""COMPUTED_VALUE"""),0.5942824074074075)</f>
        <v>0.5942824074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2">
        <v>0.08</v>
      </c>
      <c r="B9" s="12">
        <v>228.0</v>
      </c>
      <c r="C9" s="12">
        <v>2.7</v>
      </c>
      <c r="D9" s="12">
        <v>2.84</v>
      </c>
      <c r="E9" s="12">
        <v>0.14</v>
      </c>
      <c r="F9" s="12">
        <v>50.0</v>
      </c>
      <c r="G9" s="13">
        <v>44462.594390150465</v>
      </c>
      <c r="H9" s="14">
        <f>IFERROR(__xludf.DUMMYFUNCTION("SPLIT(G9, "", "")"),44462.0)</f>
        <v>44462</v>
      </c>
      <c r="I9" s="15">
        <f>IFERROR(__xludf.DUMMYFUNCTION("""COMPUTED_VALUE"""),0.594386574074074)</f>
        <v>0.5943865741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2">
        <v>0.08</v>
      </c>
      <c r="B10" s="12">
        <v>228.0</v>
      </c>
      <c r="C10" s="12">
        <v>2.7</v>
      </c>
      <c r="D10" s="12">
        <v>2.84</v>
      </c>
      <c r="E10" s="12">
        <v>0.14</v>
      </c>
      <c r="F10" s="12">
        <v>49.9</v>
      </c>
      <c r="G10" s="13">
        <v>44462.59448571759</v>
      </c>
      <c r="H10" s="14">
        <f>IFERROR(__xludf.DUMMYFUNCTION("SPLIT(G10, "", "")"),44462.0)</f>
        <v>44462</v>
      </c>
      <c r="I10" s="15">
        <f>IFERROR(__xludf.DUMMYFUNCTION("""COMPUTED_VALUE"""),0.5944907407407407)</f>
        <v>0.5944907407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2">
        <v>1.31</v>
      </c>
      <c r="B11" s="12">
        <v>227.1</v>
      </c>
      <c r="C11" s="12">
        <v>181.4</v>
      </c>
      <c r="D11" s="12">
        <v>2.84</v>
      </c>
      <c r="E11" s="12">
        <v>0.61</v>
      </c>
      <c r="F11" s="12">
        <v>49.9</v>
      </c>
      <c r="G11" s="13">
        <v>44462.594596967596</v>
      </c>
      <c r="H11" s="14">
        <f>IFERROR(__xludf.DUMMYFUNCTION("SPLIT(G11, "", "")"),44462.0)</f>
        <v>44462</v>
      </c>
      <c r="I11" s="15">
        <f>IFERROR(__xludf.DUMMYFUNCTION("""COMPUTED_VALUE"""),0.5945949074074074)</f>
        <v>0.5945949074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2">
        <v>3.16</v>
      </c>
      <c r="B12" s="12">
        <v>226.4</v>
      </c>
      <c r="C12" s="12">
        <v>459.8</v>
      </c>
      <c r="D12" s="12">
        <v>2.84</v>
      </c>
      <c r="E12" s="12">
        <v>0.64</v>
      </c>
      <c r="F12" s="12">
        <v>49.9</v>
      </c>
      <c r="G12" s="13">
        <v>44462.59469878473</v>
      </c>
      <c r="H12" s="14">
        <f>IFERROR(__xludf.DUMMYFUNCTION("SPLIT(G12, "", "")"),44462.0)</f>
        <v>44462</v>
      </c>
      <c r="I12" s="15">
        <f>IFERROR(__xludf.DUMMYFUNCTION("""COMPUTED_VALUE"""),0.5946990740740741)</f>
        <v>0.5946990741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2">
        <v>3.18</v>
      </c>
      <c r="B13" s="12">
        <v>226.4</v>
      </c>
      <c r="C13" s="12">
        <v>458.3</v>
      </c>
      <c r="D13" s="12">
        <v>2.84</v>
      </c>
      <c r="E13" s="12">
        <v>0.64</v>
      </c>
      <c r="F13" s="12">
        <v>49.9</v>
      </c>
      <c r="G13" s="13">
        <v>44462.594799467595</v>
      </c>
      <c r="H13" s="14">
        <f>IFERROR(__xludf.DUMMYFUNCTION("SPLIT(G13, "", "")"),44462.0)</f>
        <v>44462</v>
      </c>
      <c r="I13" s="15">
        <f>IFERROR(__xludf.DUMMYFUNCTION("""COMPUTED_VALUE"""),0.5948032407407408)</f>
        <v>0.5948032407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2">
        <v>3.19</v>
      </c>
      <c r="B14" s="12">
        <v>226.5</v>
      </c>
      <c r="C14" s="12">
        <v>457.9</v>
      </c>
      <c r="D14" s="12">
        <v>2.84</v>
      </c>
      <c r="E14" s="12">
        <v>0.63</v>
      </c>
      <c r="F14" s="12">
        <v>50.0</v>
      </c>
      <c r="G14" s="13">
        <v>44462.59490228009</v>
      </c>
      <c r="H14" s="14">
        <f>IFERROR(__xludf.DUMMYFUNCTION("SPLIT(G14, "", "")"),44462.0)</f>
        <v>44462</v>
      </c>
      <c r="I14" s="15">
        <f>IFERROR(__xludf.DUMMYFUNCTION("""COMPUTED_VALUE"""),0.5949074074074074)</f>
        <v>0.5949074074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2">
        <v>3.2</v>
      </c>
      <c r="B15" s="12">
        <v>226.5</v>
      </c>
      <c r="C15" s="12">
        <v>457.9</v>
      </c>
      <c r="D15" s="12">
        <v>2.84</v>
      </c>
      <c r="E15" s="12">
        <v>0.63</v>
      </c>
      <c r="F15" s="12">
        <v>50.0</v>
      </c>
      <c r="G15" s="13">
        <v>44462.594998229164</v>
      </c>
      <c r="H15" s="14">
        <f>IFERROR(__xludf.DUMMYFUNCTION("SPLIT(G15, "", "")"),44462.0)</f>
        <v>44462</v>
      </c>
      <c r="I15" s="15">
        <f>IFERROR(__xludf.DUMMYFUNCTION("""COMPUTED_VALUE"""),0.595)</f>
        <v>0.595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2">
        <v>3.2</v>
      </c>
      <c r="B16" s="12">
        <v>226.6</v>
      </c>
      <c r="C16" s="12">
        <v>458.0</v>
      </c>
      <c r="D16" s="12">
        <v>2.84</v>
      </c>
      <c r="E16" s="12">
        <v>0.63</v>
      </c>
      <c r="F16" s="12">
        <v>50.0</v>
      </c>
      <c r="G16" s="13">
        <v>44462.59511847222</v>
      </c>
      <c r="H16" s="14">
        <f>IFERROR(__xludf.DUMMYFUNCTION("SPLIT(G16, "", "")"),44462.0)</f>
        <v>44462</v>
      </c>
      <c r="I16" s="15">
        <f>IFERROR(__xludf.DUMMYFUNCTION("""COMPUTED_VALUE"""),0.5951157407407407)</f>
        <v>0.5951157407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2">
        <v>3.21</v>
      </c>
      <c r="B17" s="12">
        <v>226.7</v>
      </c>
      <c r="C17" s="12">
        <v>458.4</v>
      </c>
      <c r="D17" s="12">
        <v>2.84</v>
      </c>
      <c r="E17" s="12">
        <v>0.63</v>
      </c>
      <c r="F17" s="12">
        <v>50.0</v>
      </c>
      <c r="G17" s="13">
        <v>44462.59521929398</v>
      </c>
      <c r="H17" s="14">
        <f>IFERROR(__xludf.DUMMYFUNCTION("SPLIT(G17, "", "")"),44462.0)</f>
        <v>44462</v>
      </c>
      <c r="I17" s="15">
        <f>IFERROR(__xludf.DUMMYFUNCTION("""COMPUTED_VALUE"""),0.5952199074074074)</f>
        <v>0.5952199074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2">
        <v>3.21</v>
      </c>
      <c r="B18" s="12">
        <v>226.6</v>
      </c>
      <c r="C18" s="12">
        <v>458.6</v>
      </c>
      <c r="D18" s="12">
        <v>2.85</v>
      </c>
      <c r="E18" s="12">
        <v>0.63</v>
      </c>
      <c r="F18" s="12">
        <v>50.0</v>
      </c>
      <c r="G18" s="13">
        <v>44462.59532356482</v>
      </c>
      <c r="H18" s="14">
        <f>IFERROR(__xludf.DUMMYFUNCTION("SPLIT(G18, "", "")"),44462.0)</f>
        <v>44462</v>
      </c>
      <c r="I18" s="15">
        <f>IFERROR(__xludf.DUMMYFUNCTION("""COMPUTED_VALUE"""),0.5953240740740741)</f>
        <v>0.5953240741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2">
        <v>3.22</v>
      </c>
      <c r="B19" s="12">
        <v>226.6</v>
      </c>
      <c r="C19" s="12">
        <v>459.0</v>
      </c>
      <c r="D19" s="12">
        <v>2.85</v>
      </c>
      <c r="E19" s="12">
        <v>0.63</v>
      </c>
      <c r="F19" s="12">
        <v>50.0</v>
      </c>
      <c r="G19" s="13">
        <v>44462.59542175926</v>
      </c>
      <c r="H19" s="14">
        <f>IFERROR(__xludf.DUMMYFUNCTION("SPLIT(G19, "", "")"),44462.0)</f>
        <v>44462</v>
      </c>
      <c r="I19" s="15">
        <f>IFERROR(__xludf.DUMMYFUNCTION("""COMPUTED_VALUE"""),0.5954166666666667)</f>
        <v>0.5954166667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2">
        <v>3.22</v>
      </c>
      <c r="B20" s="12">
        <v>226.5</v>
      </c>
      <c r="C20" s="12">
        <v>459.2</v>
      </c>
      <c r="D20" s="12">
        <v>2.85</v>
      </c>
      <c r="E20" s="12">
        <v>0.63</v>
      </c>
      <c r="F20" s="12">
        <v>50.0</v>
      </c>
      <c r="G20" s="13">
        <v>44462.595519236114</v>
      </c>
      <c r="H20" s="14">
        <f>IFERROR(__xludf.DUMMYFUNCTION("SPLIT(G20, "", "")"),44462.0)</f>
        <v>44462</v>
      </c>
      <c r="I20" s="15">
        <f>IFERROR(__xludf.DUMMYFUNCTION("""COMPUTED_VALUE"""),0.5955208333333334)</f>
        <v>0.5955208333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2">
        <v>3.22</v>
      </c>
      <c r="B21" s="12">
        <v>226.6</v>
      </c>
      <c r="C21" s="12">
        <v>459.5</v>
      </c>
      <c r="D21" s="12">
        <v>2.85</v>
      </c>
      <c r="E21" s="12">
        <v>0.63</v>
      </c>
      <c r="F21" s="12">
        <v>50.0</v>
      </c>
      <c r="G21" s="13">
        <v>44462.595616493054</v>
      </c>
      <c r="H21" s="14">
        <f>IFERROR(__xludf.DUMMYFUNCTION("SPLIT(G21, "", "")"),44462.0)</f>
        <v>44462</v>
      </c>
      <c r="I21" s="15">
        <f>IFERROR(__xludf.DUMMYFUNCTION("""COMPUTED_VALUE"""),0.5956134259259259)</f>
        <v>0.5956134259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2">
        <v>3.23</v>
      </c>
      <c r="B22" s="12">
        <v>226.6</v>
      </c>
      <c r="C22" s="12">
        <v>459.8</v>
      </c>
      <c r="D22" s="12">
        <v>2.85</v>
      </c>
      <c r="E22" s="12">
        <v>0.63</v>
      </c>
      <c r="F22" s="12">
        <v>50.0</v>
      </c>
      <c r="G22" s="13">
        <v>44462.59571333333</v>
      </c>
      <c r="H22" s="14">
        <f>IFERROR(__xludf.DUMMYFUNCTION("SPLIT(G22, "", "")"),44462.0)</f>
        <v>44462</v>
      </c>
      <c r="I22" s="15">
        <f>IFERROR(__xludf.DUMMYFUNCTION("""COMPUTED_VALUE"""),0.5957175925925926)</f>
        <v>0.5957175926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2">
        <v>3.23</v>
      </c>
      <c r="B23" s="12">
        <v>226.5</v>
      </c>
      <c r="C23" s="12">
        <v>460.1</v>
      </c>
      <c r="D23" s="12">
        <v>2.85</v>
      </c>
      <c r="E23" s="12">
        <v>0.63</v>
      </c>
      <c r="F23" s="12">
        <v>50.0</v>
      </c>
      <c r="G23" s="13">
        <v>44462.595809398146</v>
      </c>
      <c r="H23" s="14">
        <f>IFERROR(__xludf.DUMMYFUNCTION("SPLIT(G23, "", "")"),44462.0)</f>
        <v>44462</v>
      </c>
      <c r="I23" s="15">
        <f>IFERROR(__xludf.DUMMYFUNCTION("""COMPUTED_VALUE"""),0.5958101851851851)</f>
        <v>0.5958101852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12">
        <v>3.23</v>
      </c>
      <c r="B24" s="12">
        <v>226.5</v>
      </c>
      <c r="C24" s="12">
        <v>460.3</v>
      </c>
      <c r="D24" s="12">
        <v>2.85</v>
      </c>
      <c r="E24" s="12">
        <v>0.63</v>
      </c>
      <c r="F24" s="12">
        <v>50.0</v>
      </c>
      <c r="G24" s="13">
        <v>44462.595907835646</v>
      </c>
      <c r="H24" s="14">
        <f>IFERROR(__xludf.DUMMYFUNCTION("SPLIT(G24, "", "")"),44462.0)</f>
        <v>44462</v>
      </c>
      <c r="I24" s="15">
        <f>IFERROR(__xludf.DUMMYFUNCTION("""COMPUTED_VALUE"""),0.5959027777777778)</f>
        <v>0.5959027778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2">
        <v>3.25</v>
      </c>
      <c r="B25" s="12">
        <v>226.5</v>
      </c>
      <c r="C25" s="12">
        <v>460.7</v>
      </c>
      <c r="D25" s="12">
        <v>2.85</v>
      </c>
      <c r="E25" s="12">
        <v>0.63</v>
      </c>
      <c r="F25" s="12">
        <v>50.0</v>
      </c>
      <c r="G25" s="13">
        <v>44462.596004293984</v>
      </c>
      <c r="H25" s="14">
        <f>IFERROR(__xludf.DUMMYFUNCTION("SPLIT(G25, "", "")"),44462.0)</f>
        <v>44462</v>
      </c>
      <c r="I25" s="15">
        <f>IFERROR(__xludf.DUMMYFUNCTION("""COMPUTED_VALUE"""),0.5960069444444445)</f>
        <v>0.5960069444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2">
        <v>3.24</v>
      </c>
      <c r="B26" s="12">
        <v>226.5</v>
      </c>
      <c r="C26" s="12">
        <v>460.9</v>
      </c>
      <c r="D26" s="12">
        <v>2.85</v>
      </c>
      <c r="E26" s="12">
        <v>0.63</v>
      </c>
      <c r="F26" s="12">
        <v>49.9</v>
      </c>
      <c r="G26" s="13">
        <v>44462.59610231481</v>
      </c>
      <c r="H26" s="14">
        <f>IFERROR(__xludf.DUMMYFUNCTION("SPLIT(G26, "", "")"),44462.0)</f>
        <v>44462</v>
      </c>
      <c r="I26" s="15">
        <f>IFERROR(__xludf.DUMMYFUNCTION("""COMPUTED_VALUE"""),0.596099537037037)</f>
        <v>0.596099537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2">
        <v>3.24</v>
      </c>
      <c r="B27" s="12">
        <v>226.5</v>
      </c>
      <c r="C27" s="12">
        <v>461.2</v>
      </c>
      <c r="D27" s="12">
        <v>2.86</v>
      </c>
      <c r="E27" s="12">
        <v>0.63</v>
      </c>
      <c r="F27" s="12">
        <v>50.0</v>
      </c>
      <c r="G27" s="13">
        <v>44462.59620299768</v>
      </c>
      <c r="H27" s="14">
        <f>IFERROR(__xludf.DUMMYFUNCTION("SPLIT(G27, "", "")"),44462.0)</f>
        <v>44462</v>
      </c>
      <c r="I27" s="15">
        <f>IFERROR(__xludf.DUMMYFUNCTION("""COMPUTED_VALUE"""),0.5962037037037037)</f>
        <v>0.5962037037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12">
        <v>3.25</v>
      </c>
      <c r="B28" s="12">
        <v>226.5</v>
      </c>
      <c r="C28" s="12">
        <v>461.7</v>
      </c>
      <c r="D28" s="12">
        <v>2.86</v>
      </c>
      <c r="E28" s="12">
        <v>0.63</v>
      </c>
      <c r="F28" s="12">
        <v>50.0</v>
      </c>
      <c r="G28" s="13">
        <v>44462.596306875</v>
      </c>
      <c r="H28" s="14">
        <f>IFERROR(__xludf.DUMMYFUNCTION("SPLIT(G28, "", "")"),44462.0)</f>
        <v>44462</v>
      </c>
      <c r="I28" s="15">
        <f>IFERROR(__xludf.DUMMYFUNCTION("""COMPUTED_VALUE"""),0.5963078703703704)</f>
        <v>0.5963078704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2">
        <v>3.26</v>
      </c>
      <c r="B29" s="12">
        <v>226.4</v>
      </c>
      <c r="C29" s="12">
        <v>462.0</v>
      </c>
      <c r="D29" s="12">
        <v>2.86</v>
      </c>
      <c r="E29" s="12">
        <v>0.63</v>
      </c>
      <c r="F29" s="12">
        <v>50.0</v>
      </c>
      <c r="G29" s="13">
        <v>44462.59640783565</v>
      </c>
      <c r="H29" s="14">
        <f>IFERROR(__xludf.DUMMYFUNCTION("SPLIT(G29, "", "")"),44462.0)</f>
        <v>44462</v>
      </c>
      <c r="I29" s="15">
        <f>IFERROR(__xludf.DUMMYFUNCTION("""COMPUTED_VALUE"""),0.596412037037037)</f>
        <v>0.596412037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2">
        <v>3.26</v>
      </c>
      <c r="B30" s="12">
        <v>226.5</v>
      </c>
      <c r="C30" s="12">
        <v>462.2</v>
      </c>
      <c r="D30" s="12">
        <v>2.86</v>
      </c>
      <c r="E30" s="12">
        <v>0.63</v>
      </c>
      <c r="F30" s="12">
        <v>50.0</v>
      </c>
      <c r="G30" s="13">
        <v>44462.596511689815</v>
      </c>
      <c r="H30" s="14">
        <f>IFERROR(__xludf.DUMMYFUNCTION("SPLIT(G30, "", "")"),44462.0)</f>
        <v>44462</v>
      </c>
      <c r="I30" s="15">
        <f>IFERROR(__xludf.DUMMYFUNCTION("""COMPUTED_VALUE"""),0.5965162037037037)</f>
        <v>0.5965162037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2">
        <v>3.26</v>
      </c>
      <c r="B31" s="12">
        <v>226.6</v>
      </c>
      <c r="C31" s="12">
        <v>462.3</v>
      </c>
      <c r="D31" s="12">
        <v>2.86</v>
      </c>
      <c r="E31" s="12">
        <v>0.63</v>
      </c>
      <c r="F31" s="12">
        <v>50.0</v>
      </c>
      <c r="G31" s="13">
        <v>44462.5966090625</v>
      </c>
      <c r="H31" s="14">
        <f>IFERROR(__xludf.DUMMYFUNCTION("SPLIT(G31, "", "")"),44462.0)</f>
        <v>44462</v>
      </c>
      <c r="I31" s="15">
        <f>IFERROR(__xludf.DUMMYFUNCTION("""COMPUTED_VALUE"""),0.5966087962962963)</f>
        <v>0.5966087963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12">
        <v>3.27</v>
      </c>
      <c r="B32" s="12">
        <v>226.6</v>
      </c>
      <c r="C32" s="12">
        <v>462.6</v>
      </c>
      <c r="D32" s="12">
        <v>2.86</v>
      </c>
      <c r="E32" s="12">
        <v>0.63</v>
      </c>
      <c r="F32" s="12">
        <v>50.0</v>
      </c>
      <c r="G32" s="13">
        <v>44462.59670761574</v>
      </c>
      <c r="H32" s="14">
        <f>IFERROR(__xludf.DUMMYFUNCTION("SPLIT(G32, "", "")"),44462.0)</f>
        <v>44462</v>
      </c>
      <c r="I32" s="15">
        <f>IFERROR(__xludf.DUMMYFUNCTION("""COMPUTED_VALUE"""),0.596712962962963)</f>
        <v>0.596712963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2">
        <v>3.27</v>
      </c>
      <c r="B33" s="12">
        <v>226.5</v>
      </c>
      <c r="C33" s="12">
        <v>462.6</v>
      </c>
      <c r="D33" s="12">
        <v>2.86</v>
      </c>
      <c r="E33" s="12">
        <v>0.62</v>
      </c>
      <c r="F33" s="12">
        <v>50.0</v>
      </c>
      <c r="G33" s="13">
        <v>44462.596807141206</v>
      </c>
      <c r="H33" s="14">
        <f>IFERROR(__xludf.DUMMYFUNCTION("SPLIT(G33, "", "")"),44462.0)</f>
        <v>44462</v>
      </c>
      <c r="I33" s="15">
        <f>IFERROR(__xludf.DUMMYFUNCTION("""COMPUTED_VALUE"""),0.5968055555555556)</f>
        <v>0.5968055556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12">
        <v>3.27</v>
      </c>
      <c r="B34" s="12">
        <v>226.5</v>
      </c>
      <c r="C34" s="12">
        <v>463.0</v>
      </c>
      <c r="D34" s="12">
        <v>2.86</v>
      </c>
      <c r="E34" s="12">
        <v>0.63</v>
      </c>
      <c r="F34" s="12">
        <v>50.0</v>
      </c>
      <c r="G34" s="13">
        <v>44462.596911319444</v>
      </c>
      <c r="H34" s="14">
        <f>IFERROR(__xludf.DUMMYFUNCTION("SPLIT(G34, "", "")"),44462.0)</f>
        <v>44462</v>
      </c>
      <c r="I34" s="15">
        <f>IFERROR(__xludf.DUMMYFUNCTION("""COMPUTED_VALUE"""),0.5969097222222223)</f>
        <v>0.5969097222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2">
        <v>3.27</v>
      </c>
      <c r="B35" s="12">
        <v>226.6</v>
      </c>
      <c r="C35" s="12">
        <v>463.1</v>
      </c>
      <c r="D35" s="12">
        <v>2.86</v>
      </c>
      <c r="E35" s="12">
        <v>0.63</v>
      </c>
      <c r="F35" s="12">
        <v>50.0</v>
      </c>
      <c r="G35" s="13">
        <v>44462.597008599536</v>
      </c>
      <c r="H35" s="14">
        <f>IFERROR(__xludf.DUMMYFUNCTION("SPLIT(G35, "", "")"),44462.0)</f>
        <v>44462</v>
      </c>
      <c r="I35" s="15">
        <f>IFERROR(__xludf.DUMMYFUNCTION("""COMPUTED_VALUE"""),0.5970138888888888)</f>
        <v>0.5970138889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12">
        <v>3.27</v>
      </c>
      <c r="B36" s="12">
        <v>226.7</v>
      </c>
      <c r="C36" s="12">
        <v>463.3</v>
      </c>
      <c r="D36" s="12">
        <v>2.87</v>
      </c>
      <c r="E36" s="12">
        <v>0.62</v>
      </c>
      <c r="F36" s="12">
        <v>50.0</v>
      </c>
      <c r="G36" s="13">
        <v>44462.597105162036</v>
      </c>
      <c r="H36" s="14">
        <f>IFERROR(__xludf.DUMMYFUNCTION("SPLIT(G36, "", "")"),44462.0)</f>
        <v>44462</v>
      </c>
      <c r="I36" s="15">
        <f>IFERROR(__xludf.DUMMYFUNCTION("""COMPUTED_VALUE"""),0.5971064814814815)</f>
        <v>0.5971064815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2">
        <v>3.27</v>
      </c>
      <c r="B37" s="12">
        <v>226.7</v>
      </c>
      <c r="C37" s="12">
        <v>463.5</v>
      </c>
      <c r="D37" s="12">
        <v>2.87</v>
      </c>
      <c r="E37" s="12">
        <v>0.63</v>
      </c>
      <c r="F37" s="12">
        <v>50.0</v>
      </c>
      <c r="G37" s="13">
        <v>44462.59720101852</v>
      </c>
      <c r="H37" s="14">
        <f>IFERROR(__xludf.DUMMYFUNCTION("SPLIT(G37, "", "")"),44462.0)</f>
        <v>44462</v>
      </c>
      <c r="I37" s="15">
        <f>IFERROR(__xludf.DUMMYFUNCTION("""COMPUTED_VALUE"""),0.597199074074074)</f>
        <v>0.5971990741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12">
        <v>3.27</v>
      </c>
      <c r="B38" s="12">
        <v>226.7</v>
      </c>
      <c r="C38" s="12">
        <v>463.5</v>
      </c>
      <c r="D38" s="12">
        <v>2.87</v>
      </c>
      <c r="E38" s="12">
        <v>0.62</v>
      </c>
      <c r="F38" s="12">
        <v>50.0</v>
      </c>
      <c r="G38" s="13">
        <v>44462.59730342592</v>
      </c>
      <c r="H38" s="14">
        <f>IFERROR(__xludf.DUMMYFUNCTION("SPLIT(G38, "", "")"),44462.0)</f>
        <v>44462</v>
      </c>
      <c r="I38" s="15">
        <f>IFERROR(__xludf.DUMMYFUNCTION("""COMPUTED_VALUE"""),0.5973032407407407)</f>
        <v>0.5973032407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12">
        <v>3.27</v>
      </c>
      <c r="B39" s="12">
        <v>226.6</v>
      </c>
      <c r="C39" s="12">
        <v>463.5</v>
      </c>
      <c r="D39" s="12">
        <v>2.87</v>
      </c>
      <c r="E39" s="12">
        <v>0.62</v>
      </c>
      <c r="F39" s="12">
        <v>50.0</v>
      </c>
      <c r="G39" s="13">
        <v>44462.59741019676</v>
      </c>
      <c r="H39" s="14">
        <f>IFERROR(__xludf.DUMMYFUNCTION("SPLIT(G39, "", "")"),44462.0)</f>
        <v>44462</v>
      </c>
      <c r="I39" s="15">
        <f>IFERROR(__xludf.DUMMYFUNCTION("""COMPUTED_VALUE"""),0.5974074074074074)</f>
        <v>0.5974074074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12">
        <v>3.28</v>
      </c>
      <c r="B40" s="12">
        <v>226.6</v>
      </c>
      <c r="C40" s="12">
        <v>463.8</v>
      </c>
      <c r="D40" s="12">
        <v>2.87</v>
      </c>
      <c r="E40" s="12">
        <v>0.62</v>
      </c>
      <c r="F40" s="12">
        <v>50.0</v>
      </c>
      <c r="G40" s="13">
        <v>44462.59751100694</v>
      </c>
      <c r="H40" s="14">
        <f>IFERROR(__xludf.DUMMYFUNCTION("SPLIT(G40, "", "")"),44462.0)</f>
        <v>44462</v>
      </c>
      <c r="I40" s="15">
        <f>IFERROR(__xludf.DUMMYFUNCTION("""COMPUTED_VALUE"""),0.5975115740740741)</f>
        <v>0.5975115741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12">
        <v>3.28</v>
      </c>
      <c r="B41" s="12">
        <v>226.6</v>
      </c>
      <c r="C41" s="12">
        <v>463.9</v>
      </c>
      <c r="D41" s="12">
        <v>2.87</v>
      </c>
      <c r="E41" s="12">
        <v>0.62</v>
      </c>
      <c r="F41" s="12">
        <v>50.0</v>
      </c>
      <c r="G41" s="13">
        <v>44462.597614791666</v>
      </c>
      <c r="H41" s="14">
        <f>IFERROR(__xludf.DUMMYFUNCTION("SPLIT(G41, "", "")"),44462.0)</f>
        <v>44462</v>
      </c>
      <c r="I41" s="15">
        <f>IFERROR(__xludf.DUMMYFUNCTION("""COMPUTED_VALUE"""),0.5976157407407408)</f>
        <v>0.5976157407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12">
        <v>3.28</v>
      </c>
      <c r="B42" s="12">
        <v>226.4</v>
      </c>
      <c r="C42" s="12">
        <v>464.0</v>
      </c>
      <c r="D42" s="12">
        <v>2.87</v>
      </c>
      <c r="E42" s="12">
        <v>0.63</v>
      </c>
      <c r="F42" s="12">
        <v>50.0</v>
      </c>
      <c r="G42" s="13">
        <v>44462.59771726852</v>
      </c>
      <c r="H42" s="14">
        <f>IFERROR(__xludf.DUMMYFUNCTION("SPLIT(G42, "", "")"),44462.0)</f>
        <v>44462</v>
      </c>
      <c r="I42" s="15">
        <f>IFERROR(__xludf.DUMMYFUNCTION("""COMPUTED_VALUE"""),0.5977199074074074)</f>
        <v>0.5977199074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2">
        <v>3.27</v>
      </c>
      <c r="B43" s="12">
        <v>226.4</v>
      </c>
      <c r="C43" s="12">
        <v>464.1</v>
      </c>
      <c r="D43" s="12">
        <v>2.87</v>
      </c>
      <c r="E43" s="12">
        <v>0.63</v>
      </c>
      <c r="F43" s="12">
        <v>49.9</v>
      </c>
      <c r="G43" s="13">
        <v>44462.597818344904</v>
      </c>
      <c r="H43" s="14">
        <f>IFERROR(__xludf.DUMMYFUNCTION("SPLIT(G43, "", "")"),44462.0)</f>
        <v>44462</v>
      </c>
      <c r="I43" s="15">
        <f>IFERROR(__xludf.DUMMYFUNCTION("""COMPUTED_VALUE"""),0.5978240740740741)</f>
        <v>0.5978240741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12">
        <v>3.27</v>
      </c>
      <c r="B44" s="12">
        <v>226.4</v>
      </c>
      <c r="C44" s="12">
        <v>464.2</v>
      </c>
      <c r="D44" s="12">
        <v>2.87</v>
      </c>
      <c r="E44" s="12">
        <v>0.63</v>
      </c>
      <c r="F44" s="12">
        <v>50.0</v>
      </c>
      <c r="G44" s="13">
        <v>44462.59792159722</v>
      </c>
      <c r="H44" s="14">
        <f>IFERROR(__xludf.DUMMYFUNCTION("SPLIT(G44, "", "")"),44462.0)</f>
        <v>44462</v>
      </c>
      <c r="I44" s="15">
        <f>IFERROR(__xludf.DUMMYFUNCTION("""COMPUTED_VALUE"""),0.5979166666666667)</f>
        <v>0.5979166667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12">
        <v>3.3</v>
      </c>
      <c r="B45" s="12">
        <v>226.2</v>
      </c>
      <c r="C45" s="12">
        <v>464.4</v>
      </c>
      <c r="D45" s="12">
        <v>2.88</v>
      </c>
      <c r="E45" s="12">
        <v>0.62</v>
      </c>
      <c r="F45" s="12">
        <v>50.0</v>
      </c>
      <c r="G45" s="13">
        <v>44462.59802097222</v>
      </c>
      <c r="H45" s="14">
        <f>IFERROR(__xludf.DUMMYFUNCTION("SPLIT(G45, "", "")"),44462.0)</f>
        <v>44462</v>
      </c>
      <c r="I45" s="15">
        <f>IFERROR(__xludf.DUMMYFUNCTION("""COMPUTED_VALUE"""),0.5980208333333333)</f>
        <v>0.5980208333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12">
        <v>3.29</v>
      </c>
      <c r="B46" s="12">
        <v>226.2</v>
      </c>
      <c r="C46" s="12">
        <v>464.5</v>
      </c>
      <c r="D46" s="12">
        <v>2.88</v>
      </c>
      <c r="E46" s="12">
        <v>0.62</v>
      </c>
      <c r="F46" s="12">
        <v>50.0</v>
      </c>
      <c r="G46" s="13">
        <v>44462.59812326389</v>
      </c>
      <c r="H46" s="14">
        <f>IFERROR(__xludf.DUMMYFUNCTION("SPLIT(G46, "", "")"),44462.0)</f>
        <v>44462</v>
      </c>
      <c r="I46" s="15">
        <f>IFERROR(__xludf.DUMMYFUNCTION("""COMPUTED_VALUE"""),0.598125)</f>
        <v>0.598125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12">
        <v>3.29</v>
      </c>
      <c r="B47" s="12">
        <v>226.2</v>
      </c>
      <c r="C47" s="12">
        <v>464.5</v>
      </c>
      <c r="D47" s="12">
        <v>2.88</v>
      </c>
      <c r="E47" s="12">
        <v>0.62</v>
      </c>
      <c r="F47" s="12">
        <v>50.0</v>
      </c>
      <c r="G47" s="13">
        <v>44462.598218506944</v>
      </c>
      <c r="H47" s="14">
        <f>IFERROR(__xludf.DUMMYFUNCTION("SPLIT(G47, "", "")"),44462.0)</f>
        <v>44462</v>
      </c>
      <c r="I47" s="15">
        <f>IFERROR(__xludf.DUMMYFUNCTION("""COMPUTED_VALUE"""),0.5982175925925926)</f>
        <v>0.5982175926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12">
        <v>3.29</v>
      </c>
      <c r="B48" s="12">
        <v>226.1</v>
      </c>
      <c r="C48" s="12">
        <v>464.7</v>
      </c>
      <c r="D48" s="12">
        <v>2.88</v>
      </c>
      <c r="E48" s="12">
        <v>0.62</v>
      </c>
      <c r="F48" s="12">
        <v>50.0</v>
      </c>
      <c r="G48" s="13">
        <v>44462.598318414355</v>
      </c>
      <c r="H48" s="14">
        <f>IFERROR(__xludf.DUMMYFUNCTION("SPLIT(G48, "", "")"),44462.0)</f>
        <v>44462</v>
      </c>
      <c r="I48" s="15">
        <f>IFERROR(__xludf.DUMMYFUNCTION("""COMPUTED_VALUE"""),0.5983217592592592)</f>
        <v>0.5983217593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12">
        <v>3.29</v>
      </c>
      <c r="B49" s="12">
        <v>226.2</v>
      </c>
      <c r="C49" s="12">
        <v>464.8</v>
      </c>
      <c r="D49" s="12">
        <v>2.88</v>
      </c>
      <c r="E49" s="12">
        <v>0.63</v>
      </c>
      <c r="F49" s="12">
        <v>50.0</v>
      </c>
      <c r="G49" s="13">
        <v>44462.59842430556</v>
      </c>
      <c r="H49" s="14">
        <f>IFERROR(__xludf.DUMMYFUNCTION("SPLIT(G49, "", "")"),44462.0)</f>
        <v>44462</v>
      </c>
      <c r="I49" s="15">
        <f>IFERROR(__xludf.DUMMYFUNCTION("""COMPUTED_VALUE"""),0.5984259259259259)</f>
        <v>0.5984259259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12">
        <v>3.29</v>
      </c>
      <c r="B50" s="12">
        <v>226.2</v>
      </c>
      <c r="C50" s="12">
        <v>464.9</v>
      </c>
      <c r="D50" s="12">
        <v>2.88</v>
      </c>
      <c r="E50" s="12">
        <v>0.62</v>
      </c>
      <c r="F50" s="12">
        <v>50.0</v>
      </c>
      <c r="G50" s="13">
        <v>44462.59852752315</v>
      </c>
      <c r="H50" s="14">
        <f>IFERROR(__xludf.DUMMYFUNCTION("SPLIT(G50, "", "")"),44462.0)</f>
        <v>44462</v>
      </c>
      <c r="I50" s="15">
        <f>IFERROR(__xludf.DUMMYFUNCTION("""COMPUTED_VALUE"""),0.5985300925925926)</f>
        <v>0.5985300926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12">
        <v>3.29</v>
      </c>
      <c r="B51" s="12">
        <v>226.2</v>
      </c>
      <c r="C51" s="12">
        <v>465.0</v>
      </c>
      <c r="D51" s="12">
        <v>2.88</v>
      </c>
      <c r="E51" s="12">
        <v>0.62</v>
      </c>
      <c r="F51" s="12">
        <v>50.0</v>
      </c>
      <c r="G51" s="13">
        <v>44462.598625266204</v>
      </c>
      <c r="H51" s="14">
        <f>IFERROR(__xludf.DUMMYFUNCTION("SPLIT(G51, "", "")"),44462.0)</f>
        <v>44462</v>
      </c>
      <c r="I51" s="15">
        <f>IFERROR(__xludf.DUMMYFUNCTION("""COMPUTED_VALUE"""),0.5986226851851851)</f>
        <v>0.5986226852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12">
        <v>3.29</v>
      </c>
      <c r="B52" s="12">
        <v>226.3</v>
      </c>
      <c r="C52" s="12">
        <v>465.0</v>
      </c>
      <c r="D52" s="12">
        <v>2.88</v>
      </c>
      <c r="E52" s="12">
        <v>0.63</v>
      </c>
      <c r="F52" s="12">
        <v>50.0</v>
      </c>
      <c r="G52" s="13">
        <v>44462.59872541667</v>
      </c>
      <c r="H52" s="14">
        <f>IFERROR(__xludf.DUMMYFUNCTION("SPLIT(G52, "", "")"),44462.0)</f>
        <v>44462</v>
      </c>
      <c r="I52" s="15">
        <f>IFERROR(__xludf.DUMMYFUNCTION("""COMPUTED_VALUE"""),0.5987268518518518)</f>
        <v>0.5987268519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2">
        <v>3.29</v>
      </c>
      <c r="B53" s="12">
        <v>226.3</v>
      </c>
      <c r="C53" s="12">
        <v>465.1</v>
      </c>
      <c r="D53" s="12">
        <v>2.88</v>
      </c>
      <c r="E53" s="12">
        <v>0.63</v>
      </c>
      <c r="F53" s="12">
        <v>50.0</v>
      </c>
      <c r="G53" s="13">
        <v>44462.59882778935</v>
      </c>
      <c r="H53" s="14">
        <f>IFERROR(__xludf.DUMMYFUNCTION("SPLIT(G53, "", "")"),44462.0)</f>
        <v>44462</v>
      </c>
      <c r="I53" s="15">
        <f>IFERROR(__xludf.DUMMYFUNCTION("""COMPUTED_VALUE"""),0.5988310185185185)</f>
        <v>0.5988310185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12">
        <v>3.29</v>
      </c>
      <c r="B54" s="12">
        <v>226.2</v>
      </c>
      <c r="C54" s="12">
        <v>465.3</v>
      </c>
      <c r="D54" s="12">
        <v>2.88</v>
      </c>
      <c r="E54" s="12">
        <v>0.63</v>
      </c>
      <c r="F54" s="12">
        <v>50.0</v>
      </c>
      <c r="G54" s="13">
        <v>44462.59892528935</v>
      </c>
      <c r="H54" s="14">
        <f>IFERROR(__xludf.DUMMYFUNCTION("SPLIT(G54, "", "")"),44462.0)</f>
        <v>44462</v>
      </c>
      <c r="I54" s="15">
        <f>IFERROR(__xludf.DUMMYFUNCTION("""COMPUTED_VALUE"""),0.5989236111111111)</f>
        <v>0.5989236111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12">
        <v>3.29</v>
      </c>
      <c r="B55" s="12">
        <v>226.3</v>
      </c>
      <c r="C55" s="12">
        <v>465.4</v>
      </c>
      <c r="D55" s="12">
        <v>2.89</v>
      </c>
      <c r="E55" s="12">
        <v>0.63</v>
      </c>
      <c r="F55" s="12">
        <v>50.0</v>
      </c>
      <c r="G55" s="13">
        <v>44462.59902246528</v>
      </c>
      <c r="H55" s="14">
        <f>IFERROR(__xludf.DUMMYFUNCTION("SPLIT(G55, "", "")"),44462.0)</f>
        <v>44462</v>
      </c>
      <c r="I55" s="15">
        <f>IFERROR(__xludf.DUMMYFUNCTION("""COMPUTED_VALUE"""),0.5990277777777778)</f>
        <v>0.5990277778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12">
        <v>3.29</v>
      </c>
      <c r="B56" s="12">
        <v>226.3</v>
      </c>
      <c r="C56" s="12">
        <v>465.5</v>
      </c>
      <c r="D56" s="12">
        <v>2.89</v>
      </c>
      <c r="E56" s="12">
        <v>0.63</v>
      </c>
      <c r="F56" s="12">
        <v>50.0</v>
      </c>
      <c r="G56" s="13">
        <v>44462.59911840278</v>
      </c>
      <c r="H56" s="14">
        <f>IFERROR(__xludf.DUMMYFUNCTION("SPLIT(G56, "", "")"),44462.0)</f>
        <v>44462</v>
      </c>
      <c r="I56" s="15">
        <f>IFERROR(__xludf.DUMMYFUNCTION("""COMPUTED_VALUE"""),0.5991203703703704)</f>
        <v>0.5991203704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12">
        <v>3.28</v>
      </c>
      <c r="B57" s="12">
        <v>226.5</v>
      </c>
      <c r="C57" s="12">
        <v>465.5</v>
      </c>
      <c r="D57" s="12">
        <v>2.89</v>
      </c>
      <c r="E57" s="12">
        <v>0.63</v>
      </c>
      <c r="F57" s="12">
        <v>50.0</v>
      </c>
      <c r="G57" s="13">
        <v>44462.59921775463</v>
      </c>
      <c r="H57" s="14">
        <f>IFERROR(__xludf.DUMMYFUNCTION("SPLIT(G57, "", "")"),44462.0)</f>
        <v>44462</v>
      </c>
      <c r="I57" s="15">
        <f>IFERROR(__xludf.DUMMYFUNCTION("""COMPUTED_VALUE"""),0.599212962962963)</f>
        <v>0.599212963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12">
        <v>3.29</v>
      </c>
      <c r="B58" s="12">
        <v>226.4</v>
      </c>
      <c r="C58" s="12">
        <v>465.7</v>
      </c>
      <c r="D58" s="12">
        <v>2.89</v>
      </c>
      <c r="E58" s="12">
        <v>0.63</v>
      </c>
      <c r="F58" s="12">
        <v>50.0</v>
      </c>
      <c r="G58" s="13">
        <v>44462.59932252315</v>
      </c>
      <c r="H58" s="14">
        <f>IFERROR(__xludf.DUMMYFUNCTION("SPLIT(G58, "", "")"),44462.0)</f>
        <v>44462</v>
      </c>
      <c r="I58" s="15">
        <f>IFERROR(__xludf.DUMMYFUNCTION("""COMPUTED_VALUE"""),0.5993171296296296)</f>
        <v>0.5993171296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2">
        <v>3.29</v>
      </c>
      <c r="B59" s="12">
        <v>226.4</v>
      </c>
      <c r="C59" s="12">
        <v>465.7</v>
      </c>
      <c r="D59" s="12">
        <v>2.89</v>
      </c>
      <c r="E59" s="12">
        <v>0.63</v>
      </c>
      <c r="F59" s="12">
        <v>50.0</v>
      </c>
      <c r="G59" s="13">
        <v>44462.599426782406</v>
      </c>
      <c r="H59" s="14">
        <f>IFERROR(__xludf.DUMMYFUNCTION("SPLIT(G59, "", "")"),44462.0)</f>
        <v>44462</v>
      </c>
      <c r="I59" s="15">
        <f>IFERROR(__xludf.DUMMYFUNCTION("""COMPUTED_VALUE"""),0.5994212962962963)</f>
        <v>0.5994212963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12">
        <v>3.29</v>
      </c>
      <c r="B60" s="12">
        <v>226.4</v>
      </c>
      <c r="C60" s="12">
        <v>465.8</v>
      </c>
      <c r="D60" s="12">
        <v>2.89</v>
      </c>
      <c r="E60" s="12">
        <v>0.63</v>
      </c>
      <c r="F60" s="12">
        <v>50.0</v>
      </c>
      <c r="G60" s="13">
        <v>44462.59952482639</v>
      </c>
      <c r="H60" s="14">
        <f>IFERROR(__xludf.DUMMYFUNCTION("SPLIT(G60, "", "")"),44462.0)</f>
        <v>44462</v>
      </c>
      <c r="I60" s="15">
        <f>IFERROR(__xludf.DUMMYFUNCTION("""COMPUTED_VALUE"""),0.5995254629629629)</f>
        <v>0.599525463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2">
        <v>3.29</v>
      </c>
      <c r="B61" s="12">
        <v>226.3</v>
      </c>
      <c r="C61" s="12">
        <v>466.0</v>
      </c>
      <c r="D61" s="12">
        <v>2.89</v>
      </c>
      <c r="E61" s="12">
        <v>0.63</v>
      </c>
      <c r="F61" s="12">
        <v>50.0</v>
      </c>
      <c r="G61" s="13">
        <v>44462.5996200463</v>
      </c>
      <c r="H61" s="14">
        <f>IFERROR(__xludf.DUMMYFUNCTION("SPLIT(G61, "", "")"),44462.0)</f>
        <v>44462</v>
      </c>
      <c r="I61" s="15">
        <f>IFERROR(__xludf.DUMMYFUNCTION("""COMPUTED_VALUE"""),0.5996180555555556)</f>
        <v>0.5996180556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2">
        <v>3.29</v>
      </c>
      <c r="B62" s="12">
        <v>226.4</v>
      </c>
      <c r="C62" s="12">
        <v>466.0</v>
      </c>
      <c r="D62" s="12">
        <v>2.89</v>
      </c>
      <c r="E62" s="12">
        <v>0.63</v>
      </c>
      <c r="F62" s="12">
        <v>50.0</v>
      </c>
      <c r="G62" s="13">
        <v>44462.5997216088</v>
      </c>
      <c r="H62" s="14">
        <f>IFERROR(__xludf.DUMMYFUNCTION("SPLIT(G62, "", "")"),44462.0)</f>
        <v>44462</v>
      </c>
      <c r="I62" s="15">
        <f>IFERROR(__xludf.DUMMYFUNCTION("""COMPUTED_VALUE"""),0.5997222222222223)</f>
        <v>0.5997222222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12">
        <v>3.29</v>
      </c>
      <c r="B63" s="12">
        <v>226.4</v>
      </c>
      <c r="C63" s="12">
        <v>466.1</v>
      </c>
      <c r="D63" s="12">
        <v>2.89</v>
      </c>
      <c r="E63" s="12">
        <v>0.63</v>
      </c>
      <c r="F63" s="12">
        <v>50.0</v>
      </c>
      <c r="G63" s="13">
        <v>44462.599823136574</v>
      </c>
      <c r="H63" s="14">
        <f>IFERROR(__xludf.DUMMYFUNCTION("SPLIT(G63, "", "")"),44462.0)</f>
        <v>44462</v>
      </c>
      <c r="I63" s="15">
        <f>IFERROR(__xludf.DUMMYFUNCTION("""COMPUTED_VALUE"""),0.5998263888888888)</f>
        <v>0.5998263889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12">
        <v>3.29</v>
      </c>
      <c r="B64" s="12">
        <v>226.4</v>
      </c>
      <c r="C64" s="12">
        <v>466.2</v>
      </c>
      <c r="D64" s="12">
        <v>2.9</v>
      </c>
      <c r="E64" s="12">
        <v>0.63</v>
      </c>
      <c r="F64" s="12">
        <v>50.0</v>
      </c>
      <c r="G64" s="13">
        <v>44462.59992201389</v>
      </c>
      <c r="H64" s="14">
        <f>IFERROR(__xludf.DUMMYFUNCTION("SPLIT(G64, "", "")"),44462.0)</f>
        <v>44462</v>
      </c>
      <c r="I64" s="15">
        <f>IFERROR(__xludf.DUMMYFUNCTION("""COMPUTED_VALUE"""),0.5999189814814815)</f>
        <v>0.5999189815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12">
        <v>3.29</v>
      </c>
      <c r="B65" s="12">
        <v>226.3</v>
      </c>
      <c r="C65" s="12">
        <v>466.2</v>
      </c>
      <c r="D65" s="12">
        <v>2.9</v>
      </c>
      <c r="E65" s="12">
        <v>0.63</v>
      </c>
      <c r="F65" s="12">
        <v>50.0</v>
      </c>
      <c r="G65" s="13">
        <v>44462.60002890046</v>
      </c>
      <c r="H65" s="14">
        <f>IFERROR(__xludf.DUMMYFUNCTION("SPLIT(G65, "", "")"),44462.0)</f>
        <v>44462</v>
      </c>
      <c r="I65" s="15">
        <f>IFERROR(__xludf.DUMMYFUNCTION("""COMPUTED_VALUE"""),0.6000231481481482)</f>
        <v>0.6000231481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12">
        <v>3.28</v>
      </c>
      <c r="B66" s="12">
        <v>226.5</v>
      </c>
      <c r="C66" s="12">
        <v>466.4</v>
      </c>
      <c r="D66" s="12">
        <v>2.9</v>
      </c>
      <c r="E66" s="12">
        <v>0.63</v>
      </c>
      <c r="F66" s="12">
        <v>50.0</v>
      </c>
      <c r="G66" s="13">
        <v>44462.600133113425</v>
      </c>
      <c r="H66" s="14">
        <f>IFERROR(__xludf.DUMMYFUNCTION("SPLIT(G66, "", "")"),44462.0)</f>
        <v>44462</v>
      </c>
      <c r="I66" s="15">
        <f>IFERROR(__xludf.DUMMYFUNCTION("""COMPUTED_VALUE"""),0.6001388888888889)</f>
        <v>0.6001388889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12">
        <v>3.29</v>
      </c>
      <c r="B67" s="12">
        <v>226.1</v>
      </c>
      <c r="C67" s="12">
        <v>466.7</v>
      </c>
      <c r="D67" s="12">
        <v>2.9</v>
      </c>
      <c r="E67" s="12">
        <v>0.63</v>
      </c>
      <c r="F67" s="12">
        <v>50.0</v>
      </c>
      <c r="G67" s="13">
        <v>44462.600233819445</v>
      </c>
      <c r="H67" s="14">
        <f>IFERROR(__xludf.DUMMYFUNCTION("SPLIT(G67, "", "")"),44462.0)</f>
        <v>44462</v>
      </c>
      <c r="I67" s="15">
        <f>IFERROR(__xludf.DUMMYFUNCTION("""COMPUTED_VALUE"""),0.6002314814814815)</f>
        <v>0.6002314815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2">
        <v>3.29</v>
      </c>
      <c r="B68" s="12">
        <v>226.2</v>
      </c>
      <c r="C68" s="12">
        <v>466.7</v>
      </c>
      <c r="D68" s="12">
        <v>2.9</v>
      </c>
      <c r="E68" s="12">
        <v>0.63</v>
      </c>
      <c r="F68" s="12">
        <v>50.0</v>
      </c>
      <c r="G68" s="13">
        <v>44462.60033811342</v>
      </c>
      <c r="H68" s="14">
        <f>IFERROR(__xludf.DUMMYFUNCTION("SPLIT(G68, "", "")"),44462.0)</f>
        <v>44462</v>
      </c>
      <c r="I68" s="15">
        <f>IFERROR(__xludf.DUMMYFUNCTION("""COMPUTED_VALUE"""),0.6003356481481481)</f>
        <v>0.6003356481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12">
        <v>3.3</v>
      </c>
      <c r="B69" s="12">
        <v>226.1</v>
      </c>
      <c r="C69" s="12">
        <v>466.9</v>
      </c>
      <c r="D69" s="12">
        <v>2.9</v>
      </c>
      <c r="E69" s="12">
        <v>0.63</v>
      </c>
      <c r="F69" s="12">
        <v>50.0</v>
      </c>
      <c r="G69" s="13">
        <v>44462.60044009259</v>
      </c>
      <c r="H69" s="14">
        <f>IFERROR(__xludf.DUMMYFUNCTION("SPLIT(G69, "", "")"),44462.0)</f>
        <v>44462</v>
      </c>
      <c r="I69" s="15">
        <f>IFERROR(__xludf.DUMMYFUNCTION("""COMPUTED_VALUE"""),0.6004398148148148)</f>
        <v>0.6004398148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12">
        <v>3.3</v>
      </c>
      <c r="B70" s="12">
        <v>226.1</v>
      </c>
      <c r="C70" s="12">
        <v>466.9</v>
      </c>
      <c r="D70" s="12">
        <v>2.9</v>
      </c>
      <c r="E70" s="12">
        <v>0.63</v>
      </c>
      <c r="F70" s="12">
        <v>50.0</v>
      </c>
      <c r="G70" s="13">
        <v>44462.600538425926</v>
      </c>
      <c r="H70" s="14">
        <f>IFERROR(__xludf.DUMMYFUNCTION("SPLIT(G70, "", "")"),44462.0)</f>
        <v>44462</v>
      </c>
      <c r="I70" s="15">
        <f>IFERROR(__xludf.DUMMYFUNCTION("""COMPUTED_VALUE"""),0.6005439814814815)</f>
        <v>0.6005439815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12">
        <v>3.3</v>
      </c>
      <c r="B71" s="12">
        <v>226.2</v>
      </c>
      <c r="C71" s="12">
        <v>467.0</v>
      </c>
      <c r="D71" s="12">
        <v>2.9</v>
      </c>
      <c r="E71" s="12">
        <v>0.63</v>
      </c>
      <c r="F71" s="12">
        <v>50.0</v>
      </c>
      <c r="G71" s="13">
        <v>44462.60064467593</v>
      </c>
      <c r="H71" s="14">
        <f>IFERROR(__xludf.DUMMYFUNCTION("SPLIT(G71, "", "")"),44462.0)</f>
        <v>44462</v>
      </c>
      <c r="I71" s="15">
        <f>IFERROR(__xludf.DUMMYFUNCTION("""COMPUTED_VALUE"""),0.6006481481481482)</f>
        <v>0.6006481481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12">
        <v>3.3</v>
      </c>
      <c r="B72" s="12">
        <v>226.2</v>
      </c>
      <c r="C72" s="12">
        <v>467.1</v>
      </c>
      <c r="D72" s="12">
        <v>2.91</v>
      </c>
      <c r="E72" s="12">
        <v>0.63</v>
      </c>
      <c r="F72" s="12">
        <v>50.0</v>
      </c>
      <c r="G72" s="13">
        <v>44462.600748020835</v>
      </c>
      <c r="H72" s="14">
        <f>IFERROR(__xludf.DUMMYFUNCTION("SPLIT(G72, "", "")"),44462.0)</f>
        <v>44462</v>
      </c>
      <c r="I72" s="15">
        <f>IFERROR(__xludf.DUMMYFUNCTION("""COMPUTED_VALUE"""),0.6007523148148148)</f>
        <v>0.6007523148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2">
        <v>3.29</v>
      </c>
      <c r="B73" s="12">
        <v>226.2</v>
      </c>
      <c r="C73" s="12">
        <v>467.2</v>
      </c>
      <c r="D73" s="12">
        <v>2.91</v>
      </c>
      <c r="E73" s="12">
        <v>0.63</v>
      </c>
      <c r="F73" s="12">
        <v>50.0</v>
      </c>
      <c r="G73" s="13">
        <v>44462.60084422454</v>
      </c>
      <c r="H73" s="14">
        <f>IFERROR(__xludf.DUMMYFUNCTION("SPLIT(G73, "", "")"),44462.0)</f>
        <v>44462</v>
      </c>
      <c r="I73" s="15">
        <f>IFERROR(__xludf.DUMMYFUNCTION("""COMPUTED_VALUE"""),0.6008449074074074)</f>
        <v>0.6008449074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12">
        <v>3.29</v>
      </c>
      <c r="B74" s="12">
        <v>226.2</v>
      </c>
      <c r="C74" s="12">
        <v>467.3</v>
      </c>
      <c r="D74" s="12">
        <v>2.91</v>
      </c>
      <c r="E74" s="12">
        <v>0.63</v>
      </c>
      <c r="F74" s="12">
        <v>50.0</v>
      </c>
      <c r="G74" s="13">
        <v>44462.60094329861</v>
      </c>
      <c r="H74" s="14">
        <f>IFERROR(__xludf.DUMMYFUNCTION("SPLIT(G74, "", "")"),44462.0)</f>
        <v>44462</v>
      </c>
      <c r="I74" s="15">
        <f>IFERROR(__xludf.DUMMYFUNCTION("""COMPUTED_VALUE"""),0.600949074074074)</f>
        <v>0.6009490741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12">
        <v>3.3</v>
      </c>
      <c r="B75" s="12">
        <v>226.1</v>
      </c>
      <c r="C75" s="12">
        <v>467.5</v>
      </c>
      <c r="D75" s="12">
        <v>2.91</v>
      </c>
      <c r="E75" s="12">
        <v>0.63</v>
      </c>
      <c r="F75" s="12">
        <v>50.0</v>
      </c>
      <c r="G75" s="13">
        <v>44462.60105275463</v>
      </c>
      <c r="H75" s="14">
        <f>IFERROR(__xludf.DUMMYFUNCTION("SPLIT(G75, "", "")"),44462.0)</f>
        <v>44462</v>
      </c>
      <c r="I75" s="15">
        <f>IFERROR(__xludf.DUMMYFUNCTION("""COMPUTED_VALUE"""),0.6010532407407407)</f>
        <v>0.6010532407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2">
        <v>3.3</v>
      </c>
      <c r="B76" s="12">
        <v>226.1</v>
      </c>
      <c r="C76" s="12">
        <v>467.6</v>
      </c>
      <c r="D76" s="12">
        <v>2.91</v>
      </c>
      <c r="E76" s="12">
        <v>0.63</v>
      </c>
      <c r="F76" s="12">
        <v>50.0</v>
      </c>
      <c r="G76" s="13">
        <v>44462.60115408565</v>
      </c>
      <c r="H76" s="14">
        <f>IFERROR(__xludf.DUMMYFUNCTION("SPLIT(G76, "", "")"),44462.0)</f>
        <v>44462</v>
      </c>
      <c r="I76" s="15">
        <f>IFERROR(__xludf.DUMMYFUNCTION("""COMPUTED_VALUE"""),0.6011574074074074)</f>
        <v>0.6011574074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12">
        <v>3.29</v>
      </c>
      <c r="B77" s="12">
        <v>226.1</v>
      </c>
      <c r="C77" s="12">
        <v>467.6</v>
      </c>
      <c r="D77" s="12">
        <v>2.91</v>
      </c>
      <c r="E77" s="12">
        <v>0.63</v>
      </c>
      <c r="F77" s="12">
        <v>50.0</v>
      </c>
      <c r="G77" s="13">
        <v>44462.60125571759</v>
      </c>
      <c r="H77" s="14">
        <f>IFERROR(__xludf.DUMMYFUNCTION("SPLIT(G77, "", "")"),44462.0)</f>
        <v>44462</v>
      </c>
      <c r="I77" s="15">
        <f>IFERROR(__xludf.DUMMYFUNCTION("""COMPUTED_VALUE"""),0.60125)</f>
        <v>0.60125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12">
        <v>3.3</v>
      </c>
      <c r="B78" s="12">
        <v>226.2</v>
      </c>
      <c r="C78" s="12">
        <v>467.7</v>
      </c>
      <c r="D78" s="12">
        <v>2.91</v>
      </c>
      <c r="E78" s="12">
        <v>0.63</v>
      </c>
      <c r="F78" s="12">
        <v>50.0</v>
      </c>
      <c r="G78" s="13">
        <v>44462.60135673611</v>
      </c>
      <c r="H78" s="14">
        <f>IFERROR(__xludf.DUMMYFUNCTION("SPLIT(G78, "", "")"),44462.0)</f>
        <v>44462</v>
      </c>
      <c r="I78" s="15">
        <f>IFERROR(__xludf.DUMMYFUNCTION("""COMPUTED_VALUE"""),0.6013541666666666)</f>
        <v>0.6013541667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2">
        <v>3.3</v>
      </c>
      <c r="B79" s="12">
        <v>226.1</v>
      </c>
      <c r="C79" s="12">
        <v>467.7</v>
      </c>
      <c r="D79" s="12">
        <v>2.91</v>
      </c>
      <c r="E79" s="12">
        <v>0.63</v>
      </c>
      <c r="F79" s="12">
        <v>50.0</v>
      </c>
      <c r="G79" s="13">
        <v>44462.60146178241</v>
      </c>
      <c r="H79" s="14">
        <f>IFERROR(__xludf.DUMMYFUNCTION("SPLIT(G79, "", "")"),44462.0)</f>
        <v>44462</v>
      </c>
      <c r="I79" s="15">
        <f>IFERROR(__xludf.DUMMYFUNCTION("""COMPUTED_VALUE"""),0.6014583333333333)</f>
        <v>0.6014583333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12">
        <v>3.29</v>
      </c>
      <c r="B80" s="12">
        <v>226.2</v>
      </c>
      <c r="C80" s="12">
        <v>467.8</v>
      </c>
      <c r="D80" s="12">
        <v>2.91</v>
      </c>
      <c r="E80" s="12">
        <v>0.63</v>
      </c>
      <c r="F80" s="12">
        <v>50.0</v>
      </c>
      <c r="G80" s="13">
        <v>44462.60156174768</v>
      </c>
      <c r="H80" s="14">
        <f>IFERROR(__xludf.DUMMYFUNCTION("SPLIT(G80, "", "")"),44462.0)</f>
        <v>44462</v>
      </c>
      <c r="I80" s="15">
        <f>IFERROR(__xludf.DUMMYFUNCTION("""COMPUTED_VALUE"""),0.6015625)</f>
        <v>0.6015625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12">
        <v>3.29</v>
      </c>
      <c r="B81" s="12">
        <v>226.0</v>
      </c>
      <c r="C81" s="12">
        <v>467.8</v>
      </c>
      <c r="D81" s="12">
        <v>2.92</v>
      </c>
      <c r="E81" s="12">
        <v>0.63</v>
      </c>
      <c r="F81" s="12">
        <v>50.0</v>
      </c>
      <c r="G81" s="13">
        <v>44462.60166381944</v>
      </c>
      <c r="H81" s="14">
        <f>IFERROR(__xludf.DUMMYFUNCTION("SPLIT(G81, "", "")"),44462.0)</f>
        <v>44462</v>
      </c>
      <c r="I81" s="15">
        <f>IFERROR(__xludf.DUMMYFUNCTION("""COMPUTED_VALUE"""),0.6016666666666667)</f>
        <v>0.6016666667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12">
        <v>3.29</v>
      </c>
      <c r="B82" s="12">
        <v>226.0</v>
      </c>
      <c r="C82" s="12">
        <v>468.0</v>
      </c>
      <c r="D82" s="12">
        <v>2.92</v>
      </c>
      <c r="E82" s="12">
        <v>0.63</v>
      </c>
      <c r="F82" s="12">
        <v>49.9</v>
      </c>
      <c r="G82" s="13">
        <v>44462.601767615735</v>
      </c>
      <c r="H82" s="14">
        <f>IFERROR(__xludf.DUMMYFUNCTION("SPLIT(G82, "", "")"),44462.0)</f>
        <v>44462</v>
      </c>
      <c r="I82" s="15">
        <f>IFERROR(__xludf.DUMMYFUNCTION("""COMPUTED_VALUE"""),0.6017708333333334)</f>
        <v>0.6017708333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2">
        <v>3.3</v>
      </c>
      <c r="B83" s="12">
        <v>225.9</v>
      </c>
      <c r="C83" s="12">
        <v>468.2</v>
      </c>
      <c r="D83" s="12">
        <v>2.92</v>
      </c>
      <c r="E83" s="12">
        <v>0.63</v>
      </c>
      <c r="F83" s="12">
        <v>50.0</v>
      </c>
      <c r="G83" s="13">
        <v>44462.60187383102</v>
      </c>
      <c r="H83" s="14">
        <f>IFERROR(__xludf.DUMMYFUNCTION("SPLIT(G83, "", "")"),44462.0)</f>
        <v>44462</v>
      </c>
      <c r="I83" s="15">
        <f>IFERROR(__xludf.DUMMYFUNCTION("""COMPUTED_VALUE"""),0.601875)</f>
        <v>0.601875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12">
        <v>3.3</v>
      </c>
      <c r="B84" s="12">
        <v>225.9</v>
      </c>
      <c r="C84" s="12">
        <v>468.3</v>
      </c>
      <c r="D84" s="12">
        <v>2.92</v>
      </c>
      <c r="E84" s="12">
        <v>0.63</v>
      </c>
      <c r="F84" s="12">
        <v>50.0</v>
      </c>
      <c r="G84" s="13">
        <v>44462.601973171295</v>
      </c>
      <c r="H84" s="14">
        <f>IFERROR(__xludf.DUMMYFUNCTION("SPLIT(G84, "", "")"),44462.0)</f>
        <v>44462</v>
      </c>
      <c r="I84" s="15">
        <f>IFERROR(__xludf.DUMMYFUNCTION("""COMPUTED_VALUE"""),0.6019675925925926)</f>
        <v>0.6019675926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12">
        <v>3.3</v>
      </c>
      <c r="B85" s="12">
        <v>225.7</v>
      </c>
      <c r="C85" s="12">
        <v>468.3</v>
      </c>
      <c r="D85" s="12">
        <v>2.92</v>
      </c>
      <c r="E85" s="12">
        <v>0.63</v>
      </c>
      <c r="F85" s="12">
        <v>50.0</v>
      </c>
      <c r="G85" s="13">
        <v>44462.60207097222</v>
      </c>
      <c r="H85" s="14">
        <f>IFERROR(__xludf.DUMMYFUNCTION("SPLIT(G85, "", "")"),44462.0)</f>
        <v>44462</v>
      </c>
      <c r="I85" s="15">
        <f>IFERROR(__xludf.DUMMYFUNCTION("""COMPUTED_VALUE"""),0.6020717592592593)</f>
        <v>0.6020717593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2">
        <v>3.31</v>
      </c>
      <c r="B86" s="12">
        <v>225.7</v>
      </c>
      <c r="C86" s="12">
        <v>468.5</v>
      </c>
      <c r="D86" s="12">
        <v>2.92</v>
      </c>
      <c r="E86" s="12">
        <v>0.63</v>
      </c>
      <c r="F86" s="12">
        <v>50.0</v>
      </c>
      <c r="G86" s="13">
        <v>44462.60216898148</v>
      </c>
      <c r="H86" s="14">
        <f>IFERROR(__xludf.DUMMYFUNCTION("SPLIT(G86, "", "")"),44462.0)</f>
        <v>44462</v>
      </c>
      <c r="I86" s="15">
        <f>IFERROR(__xludf.DUMMYFUNCTION("""COMPUTED_VALUE"""),0.6021643518518518)</f>
        <v>0.6021643519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12">
        <v>3.3</v>
      </c>
      <c r="B87" s="12">
        <v>225.8</v>
      </c>
      <c r="C87" s="12">
        <v>468.4</v>
      </c>
      <c r="D87" s="12">
        <v>2.92</v>
      </c>
      <c r="E87" s="12">
        <v>0.63</v>
      </c>
      <c r="F87" s="12">
        <v>50.0</v>
      </c>
      <c r="G87" s="13">
        <v>44462.60226385416</v>
      </c>
      <c r="H87" s="14">
        <f>IFERROR(__xludf.DUMMYFUNCTION("SPLIT(G87, "", "")"),44462.0)</f>
        <v>44462</v>
      </c>
      <c r="I87" s="15">
        <f>IFERROR(__xludf.DUMMYFUNCTION("""COMPUTED_VALUE"""),0.6022685185185185)</f>
        <v>0.6022685185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12">
        <v>3.3</v>
      </c>
      <c r="B88" s="12">
        <v>225.7</v>
      </c>
      <c r="C88" s="12">
        <v>468.5</v>
      </c>
      <c r="D88" s="12">
        <v>2.92</v>
      </c>
      <c r="E88" s="12">
        <v>0.63</v>
      </c>
      <c r="F88" s="12">
        <v>49.9</v>
      </c>
      <c r="G88" s="13">
        <v>44462.60236326389</v>
      </c>
      <c r="H88" s="14">
        <f>IFERROR(__xludf.DUMMYFUNCTION("SPLIT(G88, "", "")"),44462.0)</f>
        <v>44462</v>
      </c>
      <c r="I88" s="15">
        <f>IFERROR(__xludf.DUMMYFUNCTION("""COMPUTED_VALUE"""),0.6023611111111111)</f>
        <v>0.6023611111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2">
        <v>3.3</v>
      </c>
      <c r="B89" s="12">
        <v>225.9</v>
      </c>
      <c r="C89" s="12">
        <v>468.6</v>
      </c>
      <c r="D89" s="12">
        <v>2.92</v>
      </c>
      <c r="E89" s="12">
        <v>0.63</v>
      </c>
      <c r="F89" s="12">
        <v>50.0</v>
      </c>
      <c r="G89" s="13">
        <v>44462.60246070602</v>
      </c>
      <c r="H89" s="14">
        <f>IFERROR(__xludf.DUMMYFUNCTION("SPLIT(G89, "", "")"),44462.0)</f>
        <v>44462</v>
      </c>
      <c r="I89" s="15">
        <f>IFERROR(__xludf.DUMMYFUNCTION("""COMPUTED_VALUE"""),0.6024652777777778)</f>
        <v>0.6024652778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12">
        <v>3.3</v>
      </c>
      <c r="B90" s="12">
        <v>226.0</v>
      </c>
      <c r="C90" s="12">
        <v>468.7</v>
      </c>
      <c r="D90" s="12">
        <v>2.93</v>
      </c>
      <c r="E90" s="12">
        <v>0.63</v>
      </c>
      <c r="F90" s="12">
        <v>50.0</v>
      </c>
      <c r="G90" s="13">
        <v>44462.60255814815</v>
      </c>
      <c r="H90" s="14">
        <f>IFERROR(__xludf.DUMMYFUNCTION("SPLIT(G90, "", "")"),44462.0)</f>
        <v>44462</v>
      </c>
      <c r="I90" s="15">
        <f>IFERROR(__xludf.DUMMYFUNCTION("""COMPUTED_VALUE"""),0.6025578703703703)</f>
        <v>0.6025578704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12">
        <v>3.3</v>
      </c>
      <c r="B91" s="12">
        <v>226.0</v>
      </c>
      <c r="C91" s="12">
        <v>468.7</v>
      </c>
      <c r="D91" s="12">
        <v>2.93</v>
      </c>
      <c r="E91" s="12">
        <v>0.63</v>
      </c>
      <c r="F91" s="12">
        <v>50.0</v>
      </c>
      <c r="G91" s="13">
        <v>44462.60265431713</v>
      </c>
      <c r="H91" s="14">
        <f>IFERROR(__xludf.DUMMYFUNCTION("SPLIT(G91, "", "")"),44462.0)</f>
        <v>44462</v>
      </c>
      <c r="I91" s="15">
        <f>IFERROR(__xludf.DUMMYFUNCTION("""COMPUTED_VALUE"""),0.602650462962963)</f>
        <v>0.602650463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2">
        <v>3.29</v>
      </c>
      <c r="B92" s="12">
        <v>225.9</v>
      </c>
      <c r="C92" s="12">
        <v>468.8</v>
      </c>
      <c r="D92" s="12">
        <v>2.93</v>
      </c>
      <c r="E92" s="12">
        <v>0.63</v>
      </c>
      <c r="F92" s="12">
        <v>50.0</v>
      </c>
      <c r="G92" s="13">
        <v>44462.602755659726</v>
      </c>
      <c r="H92" s="14">
        <f>IFERROR(__xludf.DUMMYFUNCTION("SPLIT(G92, "", "")"),44462.0)</f>
        <v>44462</v>
      </c>
      <c r="I92" s="15">
        <f>IFERROR(__xludf.DUMMYFUNCTION("""COMPUTED_VALUE"""),0.6027546296296297)</f>
        <v>0.6027546296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12">
        <v>3.3</v>
      </c>
      <c r="B93" s="12">
        <v>225.9</v>
      </c>
      <c r="C93" s="12">
        <v>469.1</v>
      </c>
      <c r="D93" s="12">
        <v>2.93</v>
      </c>
      <c r="E93" s="12">
        <v>0.63</v>
      </c>
      <c r="F93" s="12">
        <v>50.0</v>
      </c>
      <c r="G93" s="13">
        <v>44462.60286</v>
      </c>
      <c r="H93" s="14">
        <f>IFERROR(__xludf.DUMMYFUNCTION("SPLIT(G93, "", "")"),44462.0)</f>
        <v>44462</v>
      </c>
      <c r="I93" s="15">
        <f>IFERROR(__xludf.DUMMYFUNCTION("""COMPUTED_VALUE"""),0.6028587962962964)</f>
        <v>0.6028587963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12">
        <v>3.29</v>
      </c>
      <c r="B94" s="12">
        <v>225.9</v>
      </c>
      <c r="C94" s="12">
        <v>469.2</v>
      </c>
      <c r="D94" s="12">
        <v>2.93</v>
      </c>
      <c r="E94" s="12">
        <v>0.63</v>
      </c>
      <c r="F94" s="12">
        <v>50.0</v>
      </c>
      <c r="G94" s="13">
        <v>44462.60296094907</v>
      </c>
      <c r="H94" s="14">
        <f>IFERROR(__xludf.DUMMYFUNCTION("SPLIT(G94, "", "")"),44462.0)</f>
        <v>44462</v>
      </c>
      <c r="I94" s="15">
        <f>IFERROR(__xludf.DUMMYFUNCTION("""COMPUTED_VALUE"""),0.6029629629629629)</f>
        <v>0.602962963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2">
        <v>3.3</v>
      </c>
      <c r="B95" s="12">
        <v>225.9</v>
      </c>
      <c r="C95" s="12">
        <v>469.3</v>
      </c>
      <c r="D95" s="12">
        <v>2.93</v>
      </c>
      <c r="E95" s="12">
        <v>0.63</v>
      </c>
      <c r="F95" s="12">
        <v>50.0</v>
      </c>
      <c r="G95" s="13">
        <v>44462.603057824075</v>
      </c>
      <c r="H95" s="14">
        <f>IFERROR(__xludf.DUMMYFUNCTION("SPLIT(G95, "", "")"),44462.0)</f>
        <v>44462</v>
      </c>
      <c r="I95" s="15">
        <f>IFERROR(__xludf.DUMMYFUNCTION("""COMPUTED_VALUE"""),0.6030555555555556)</f>
        <v>0.6030555556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12">
        <v>3.29</v>
      </c>
      <c r="B96" s="12">
        <v>225.8</v>
      </c>
      <c r="C96" s="12">
        <v>469.2</v>
      </c>
      <c r="D96" s="12">
        <v>2.93</v>
      </c>
      <c r="E96" s="12">
        <v>0.63</v>
      </c>
      <c r="F96" s="12">
        <v>50.0</v>
      </c>
      <c r="G96" s="13">
        <v>44462.60315454861</v>
      </c>
      <c r="H96" s="14">
        <f>IFERROR(__xludf.DUMMYFUNCTION("SPLIT(G96, "", "")"),44462.0)</f>
        <v>44462</v>
      </c>
      <c r="I96" s="15">
        <f>IFERROR(__xludf.DUMMYFUNCTION("""COMPUTED_VALUE"""),0.6031597222222222)</f>
        <v>0.6031597222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12">
        <v>3.3</v>
      </c>
      <c r="B97" s="12">
        <v>225.9</v>
      </c>
      <c r="C97" s="12">
        <v>469.3</v>
      </c>
      <c r="D97" s="12">
        <v>2.93</v>
      </c>
      <c r="E97" s="12">
        <v>0.63</v>
      </c>
      <c r="F97" s="12">
        <v>50.0</v>
      </c>
      <c r="G97" s="13">
        <v>44462.6032565625</v>
      </c>
      <c r="H97" s="14">
        <f>IFERROR(__xludf.DUMMYFUNCTION("SPLIT(G97, "", "")"),44462.0)</f>
        <v>44462</v>
      </c>
      <c r="I97" s="15">
        <f>IFERROR(__xludf.DUMMYFUNCTION("""COMPUTED_VALUE"""),0.6032523148148148)</f>
        <v>0.6032523148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12">
        <v>3.3</v>
      </c>
      <c r="B98" s="12">
        <v>226.0</v>
      </c>
      <c r="C98" s="12">
        <v>469.5</v>
      </c>
      <c r="D98" s="12">
        <v>2.93</v>
      </c>
      <c r="E98" s="12">
        <v>0.63</v>
      </c>
      <c r="F98" s="12">
        <v>50.0</v>
      </c>
      <c r="G98" s="13">
        <v>44462.603357789354</v>
      </c>
      <c r="H98" s="14">
        <f>IFERROR(__xludf.DUMMYFUNCTION("SPLIT(G98, "", "")"),44462.0)</f>
        <v>44462</v>
      </c>
      <c r="I98" s="15">
        <f>IFERROR(__xludf.DUMMYFUNCTION("""COMPUTED_VALUE"""),0.6033564814814815)</f>
        <v>0.6033564815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12">
        <v>3.29</v>
      </c>
      <c r="B99" s="12">
        <v>226.1</v>
      </c>
      <c r="C99" s="12">
        <v>469.6</v>
      </c>
      <c r="D99" s="12">
        <v>2.94</v>
      </c>
      <c r="E99" s="12">
        <v>0.63</v>
      </c>
      <c r="F99" s="12">
        <v>50.0</v>
      </c>
      <c r="G99" s="13">
        <v>44462.60345863426</v>
      </c>
      <c r="H99" s="14">
        <f>IFERROR(__xludf.DUMMYFUNCTION("SPLIT(G99, "", "")"),44462.0)</f>
        <v>44462</v>
      </c>
      <c r="I99" s="15">
        <f>IFERROR(__xludf.DUMMYFUNCTION("""COMPUTED_VALUE"""),0.6034606481481481)</f>
        <v>0.6034606481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12">
        <v>3.29</v>
      </c>
      <c r="B100" s="12">
        <v>226.1</v>
      </c>
      <c r="C100" s="12">
        <v>469.7</v>
      </c>
      <c r="D100" s="12">
        <v>2.94</v>
      </c>
      <c r="E100" s="12">
        <v>0.63</v>
      </c>
      <c r="F100" s="12">
        <v>50.0</v>
      </c>
      <c r="G100" s="13">
        <v>44462.60355979166</v>
      </c>
      <c r="H100" s="14">
        <f>IFERROR(__xludf.DUMMYFUNCTION("SPLIT(G100, "", "")"),44462.0)</f>
        <v>44462</v>
      </c>
      <c r="I100" s="15">
        <f>IFERROR(__xludf.DUMMYFUNCTION("""COMPUTED_VALUE"""),0.6035648148148148)</f>
        <v>0.6035648148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12">
        <v>3.29</v>
      </c>
      <c r="B101" s="12">
        <v>226.1</v>
      </c>
      <c r="C101" s="12">
        <v>469.8</v>
      </c>
      <c r="D101" s="12">
        <v>2.94</v>
      </c>
      <c r="E101" s="12">
        <v>0.63</v>
      </c>
      <c r="F101" s="12">
        <v>50.0</v>
      </c>
      <c r="G101" s="13">
        <v>44462.6036559375</v>
      </c>
      <c r="H101" s="14">
        <f>IFERROR(__xludf.DUMMYFUNCTION("SPLIT(G101, "", "")"),44462.0)</f>
        <v>44462</v>
      </c>
      <c r="I101" s="15">
        <f>IFERROR(__xludf.DUMMYFUNCTION("""COMPUTED_VALUE"""),0.6036574074074074)</f>
        <v>0.6036574074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12">
        <v>3.3</v>
      </c>
      <c r="B102" s="12">
        <v>225.7</v>
      </c>
      <c r="C102" s="12">
        <v>469.8</v>
      </c>
      <c r="D102" s="12">
        <v>2.94</v>
      </c>
      <c r="E102" s="12">
        <v>0.63</v>
      </c>
      <c r="F102" s="12">
        <v>50.0</v>
      </c>
      <c r="G102" s="13">
        <v>44462.60375258102</v>
      </c>
      <c r="H102" s="14">
        <f>IFERROR(__xludf.DUMMYFUNCTION("SPLIT(G102, "", "")"),44462.0)</f>
        <v>44462</v>
      </c>
      <c r="I102" s="15">
        <f>IFERROR(__xludf.DUMMYFUNCTION("""COMPUTED_VALUE"""),0.60375)</f>
        <v>0.60375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12">
        <v>3.31</v>
      </c>
      <c r="B103" s="12">
        <v>225.6</v>
      </c>
      <c r="C103" s="12">
        <v>469.9</v>
      </c>
      <c r="D103" s="12">
        <v>2.94</v>
      </c>
      <c r="E103" s="12">
        <v>0.63</v>
      </c>
      <c r="F103" s="12">
        <v>50.0</v>
      </c>
      <c r="G103" s="13">
        <v>44462.60385038194</v>
      </c>
      <c r="H103" s="14">
        <f>IFERROR(__xludf.DUMMYFUNCTION("SPLIT(G103, "", "")"),44462.0)</f>
        <v>44462</v>
      </c>
      <c r="I103" s="15">
        <f>IFERROR(__xludf.DUMMYFUNCTION("""COMPUTED_VALUE"""),0.6038541666666667)</f>
        <v>0.6038541667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12">
        <v>3.32</v>
      </c>
      <c r="B104" s="12">
        <v>225.5</v>
      </c>
      <c r="C104" s="12">
        <v>470.0</v>
      </c>
      <c r="D104" s="12">
        <v>2.94</v>
      </c>
      <c r="E104" s="12">
        <v>0.63</v>
      </c>
      <c r="F104" s="12">
        <v>49.9</v>
      </c>
      <c r="G104" s="13">
        <v>44462.60394685185</v>
      </c>
      <c r="H104" s="14">
        <f>IFERROR(__xludf.DUMMYFUNCTION("SPLIT(G104, "", "")"),44462.0)</f>
        <v>44462</v>
      </c>
      <c r="I104" s="15">
        <f>IFERROR(__xludf.DUMMYFUNCTION("""COMPUTED_VALUE"""),0.6039467592592592)</f>
        <v>0.6039467593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12">
        <v>3.31</v>
      </c>
      <c r="B105" s="12">
        <v>225.6</v>
      </c>
      <c r="C105" s="12">
        <v>470.1</v>
      </c>
      <c r="D105" s="12">
        <v>2.94</v>
      </c>
      <c r="E105" s="12">
        <v>0.63</v>
      </c>
      <c r="F105" s="12">
        <v>49.9</v>
      </c>
      <c r="G105" s="13">
        <v>44462.604044293985</v>
      </c>
      <c r="H105" s="14">
        <f>IFERROR(__xludf.DUMMYFUNCTION("SPLIT(G105, "", "")"),44462.0)</f>
        <v>44462</v>
      </c>
      <c r="I105" s="15">
        <f>IFERROR(__xludf.DUMMYFUNCTION("""COMPUTED_VALUE"""),0.6040393518518519)</f>
        <v>0.6040393519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12">
        <v>3.32</v>
      </c>
      <c r="B106" s="12">
        <v>225.6</v>
      </c>
      <c r="C106" s="12">
        <v>470.3</v>
      </c>
      <c r="D106" s="12">
        <v>2.94</v>
      </c>
      <c r="E106" s="12">
        <v>0.63</v>
      </c>
      <c r="F106" s="12">
        <v>50.0</v>
      </c>
      <c r="G106" s="13">
        <v>44462.60414186343</v>
      </c>
      <c r="H106" s="14">
        <f>IFERROR(__xludf.DUMMYFUNCTION("SPLIT(G106, "", "")"),44462.0)</f>
        <v>44462</v>
      </c>
      <c r="I106" s="15">
        <f>IFERROR(__xludf.DUMMYFUNCTION("""COMPUTED_VALUE"""),0.6041435185185186)</f>
        <v>0.6041435185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12">
        <v>3.31</v>
      </c>
      <c r="B107" s="12">
        <v>225.7</v>
      </c>
      <c r="C107" s="12">
        <v>470.3</v>
      </c>
      <c r="D107" s="12">
        <v>2.94</v>
      </c>
      <c r="E107" s="12">
        <v>0.63</v>
      </c>
      <c r="F107" s="12">
        <v>50.0</v>
      </c>
      <c r="G107" s="13">
        <v>44462.604242430556</v>
      </c>
      <c r="H107" s="14">
        <f>IFERROR(__xludf.DUMMYFUNCTION("SPLIT(G107, "", "")"),44462.0)</f>
        <v>44462</v>
      </c>
      <c r="I107" s="15">
        <f>IFERROR(__xludf.DUMMYFUNCTION("""COMPUTED_VALUE"""),0.6042476851851852)</f>
        <v>0.6042476852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12">
        <v>3.31</v>
      </c>
      <c r="B108" s="12">
        <v>225.6</v>
      </c>
      <c r="C108" s="12">
        <v>470.3</v>
      </c>
      <c r="D108" s="12">
        <v>2.95</v>
      </c>
      <c r="E108" s="12">
        <v>0.63</v>
      </c>
      <c r="F108" s="12">
        <v>49.9</v>
      </c>
      <c r="G108" s="13">
        <v>44462.604343425926</v>
      </c>
      <c r="H108" s="14">
        <f>IFERROR(__xludf.DUMMYFUNCTION("SPLIT(G108, "", "")"),44462.0)</f>
        <v>44462</v>
      </c>
      <c r="I108" s="15">
        <f>IFERROR(__xludf.DUMMYFUNCTION("""COMPUTED_VALUE"""),0.6043402777777778)</f>
        <v>0.6043402778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12">
        <v>3.31</v>
      </c>
      <c r="B109" s="12">
        <v>225.6</v>
      </c>
      <c r="C109" s="12">
        <v>470.4</v>
      </c>
      <c r="D109" s="12">
        <v>2.95</v>
      </c>
      <c r="E109" s="12">
        <v>0.63</v>
      </c>
      <c r="F109" s="12">
        <v>49.9</v>
      </c>
      <c r="G109" s="13">
        <v>44462.60443924769</v>
      </c>
      <c r="H109" s="14">
        <f>IFERROR(__xludf.DUMMYFUNCTION("SPLIT(G109, "", "")"),44462.0)</f>
        <v>44462</v>
      </c>
      <c r="I109" s="15">
        <f>IFERROR(__xludf.DUMMYFUNCTION("""COMPUTED_VALUE"""),0.6044444444444445)</f>
        <v>0.6044444444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12">
        <v>3.31</v>
      </c>
      <c r="B110" s="12">
        <v>225.6</v>
      </c>
      <c r="C110" s="12">
        <v>470.4</v>
      </c>
      <c r="D110" s="12">
        <v>2.95</v>
      </c>
      <c r="E110" s="12">
        <v>0.63</v>
      </c>
      <c r="F110" s="12">
        <v>49.9</v>
      </c>
      <c r="G110" s="13">
        <v>44462.60453434028</v>
      </c>
      <c r="H110" s="14">
        <f>IFERROR(__xludf.DUMMYFUNCTION("SPLIT(G110, "", "")"),44462.0)</f>
        <v>44462</v>
      </c>
      <c r="I110" s="15">
        <f>IFERROR(__xludf.DUMMYFUNCTION("""COMPUTED_VALUE"""),0.604537037037037)</f>
        <v>0.604537037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12">
        <v>3.31</v>
      </c>
      <c r="B111" s="12">
        <v>225.7</v>
      </c>
      <c r="C111" s="12">
        <v>470.5</v>
      </c>
      <c r="D111" s="12">
        <v>2.95</v>
      </c>
      <c r="E111" s="12">
        <v>0.63</v>
      </c>
      <c r="F111" s="12">
        <v>49.9</v>
      </c>
      <c r="G111" s="13">
        <v>44462.60463587963</v>
      </c>
      <c r="H111" s="14">
        <f>IFERROR(__xludf.DUMMYFUNCTION("SPLIT(G111, "", "")"),44462.0)</f>
        <v>44462</v>
      </c>
      <c r="I111" s="15">
        <f>IFERROR(__xludf.DUMMYFUNCTION("""COMPUTED_VALUE"""),0.6046412037037037)</f>
        <v>0.6046412037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12">
        <v>3.3</v>
      </c>
      <c r="B112" s="12">
        <v>225.7</v>
      </c>
      <c r="C112" s="12">
        <v>470.6</v>
      </c>
      <c r="D112" s="12">
        <v>2.95</v>
      </c>
      <c r="E112" s="12">
        <v>0.63</v>
      </c>
      <c r="F112" s="12">
        <v>50.0</v>
      </c>
      <c r="G112" s="13">
        <v>44462.604741874995</v>
      </c>
      <c r="H112" s="14">
        <f>IFERROR(__xludf.DUMMYFUNCTION("SPLIT(G112, "", "")"),44462.0)</f>
        <v>44462</v>
      </c>
      <c r="I112" s="15">
        <f>IFERROR(__xludf.DUMMYFUNCTION("""COMPUTED_VALUE"""),0.6047453703703703)</f>
        <v>0.6047453704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12">
        <v>3.31</v>
      </c>
      <c r="B113" s="12">
        <v>225.7</v>
      </c>
      <c r="C113" s="12">
        <v>470.7</v>
      </c>
      <c r="D113" s="12">
        <v>2.95</v>
      </c>
      <c r="E113" s="12">
        <v>0.63</v>
      </c>
      <c r="F113" s="12">
        <v>50.0</v>
      </c>
      <c r="G113" s="13">
        <v>44462.604843611116</v>
      </c>
      <c r="H113" s="14">
        <f>IFERROR(__xludf.DUMMYFUNCTION("SPLIT(G113, "", "")"),44462.0)</f>
        <v>44462</v>
      </c>
      <c r="I113" s="15">
        <f>IFERROR(__xludf.DUMMYFUNCTION("""COMPUTED_VALUE"""),0.604837962962963)</f>
        <v>0.604837963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12">
        <v>3.31</v>
      </c>
      <c r="B114" s="12">
        <v>225.8</v>
      </c>
      <c r="C114" s="12">
        <v>470.9</v>
      </c>
      <c r="D114" s="12">
        <v>2.95</v>
      </c>
      <c r="E114" s="12">
        <v>0.63</v>
      </c>
      <c r="F114" s="12">
        <v>50.0</v>
      </c>
      <c r="G114" s="13">
        <v>44462.60494135416</v>
      </c>
      <c r="H114" s="14">
        <f>IFERROR(__xludf.DUMMYFUNCTION("SPLIT(G114, "", "")"),44462.0)</f>
        <v>44462</v>
      </c>
      <c r="I114" s="15">
        <f>IFERROR(__xludf.DUMMYFUNCTION("""COMPUTED_VALUE"""),0.6049421296296297)</f>
        <v>0.6049421296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12">
        <v>3.32</v>
      </c>
      <c r="B115" s="12">
        <v>225.7</v>
      </c>
      <c r="C115" s="12">
        <v>471.1</v>
      </c>
      <c r="D115" s="12">
        <v>2.95</v>
      </c>
      <c r="E115" s="12">
        <v>0.63</v>
      </c>
      <c r="F115" s="12">
        <v>50.0</v>
      </c>
      <c r="G115" s="13">
        <v>44462.60503902778</v>
      </c>
      <c r="H115" s="14">
        <f>IFERROR(__xludf.DUMMYFUNCTION("SPLIT(G115, "", "")"),44462.0)</f>
        <v>44462</v>
      </c>
      <c r="I115" s="15">
        <f>IFERROR(__xludf.DUMMYFUNCTION("""COMPUTED_VALUE"""),0.6050347222222222)</f>
        <v>0.6050347222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12">
        <v>3.31</v>
      </c>
      <c r="B116" s="12">
        <v>225.9</v>
      </c>
      <c r="C116" s="12">
        <v>471.1</v>
      </c>
      <c r="D116" s="12">
        <v>2.95</v>
      </c>
      <c r="E116" s="12">
        <v>0.63</v>
      </c>
      <c r="F116" s="12">
        <v>50.0</v>
      </c>
      <c r="G116" s="13">
        <v>44462.60513729167</v>
      </c>
      <c r="H116" s="14">
        <f>IFERROR(__xludf.DUMMYFUNCTION("SPLIT(G116, "", "")"),44462.0)</f>
        <v>44462</v>
      </c>
      <c r="I116" s="15">
        <f>IFERROR(__xludf.DUMMYFUNCTION("""COMPUTED_VALUE"""),0.6051388888888889)</f>
        <v>0.6051388889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12">
        <v>3.31</v>
      </c>
      <c r="B117" s="12">
        <v>225.9</v>
      </c>
      <c r="C117" s="12">
        <v>471.2</v>
      </c>
      <c r="D117" s="12">
        <v>2.96</v>
      </c>
      <c r="E117" s="12">
        <v>0.63</v>
      </c>
      <c r="F117" s="12">
        <v>50.0</v>
      </c>
      <c r="G117" s="13">
        <v>44462.60523361111</v>
      </c>
      <c r="H117" s="14">
        <f>IFERROR(__xludf.DUMMYFUNCTION("SPLIT(G117, "", "")"),44462.0)</f>
        <v>44462</v>
      </c>
      <c r="I117" s="15">
        <f>IFERROR(__xludf.DUMMYFUNCTION("""COMPUTED_VALUE"""),0.6052314814814815)</f>
        <v>0.6052314815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12">
        <v>3.31</v>
      </c>
      <c r="B118" s="12">
        <v>225.9</v>
      </c>
      <c r="C118" s="12">
        <v>471.3</v>
      </c>
      <c r="D118" s="12">
        <v>2.96</v>
      </c>
      <c r="E118" s="12">
        <v>0.63</v>
      </c>
      <c r="F118" s="12">
        <v>50.0</v>
      </c>
      <c r="G118" s="13">
        <v>44462.60532768519</v>
      </c>
      <c r="H118" s="14">
        <f>IFERROR(__xludf.DUMMYFUNCTION("SPLIT(G118, "", "")"),44462.0)</f>
        <v>44462</v>
      </c>
      <c r="I118" s="15">
        <f>IFERROR(__xludf.DUMMYFUNCTION("""COMPUTED_VALUE"""),0.6053240740740741)</f>
        <v>0.6053240741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12">
        <v>3.31</v>
      </c>
      <c r="B119" s="12">
        <v>226.0</v>
      </c>
      <c r="C119" s="12">
        <v>471.4</v>
      </c>
      <c r="D119" s="12">
        <v>2.96</v>
      </c>
      <c r="E119" s="12">
        <v>0.63</v>
      </c>
      <c r="F119" s="12">
        <v>50.0</v>
      </c>
      <c r="G119" s="13">
        <v>44462.60542472222</v>
      </c>
      <c r="H119" s="14">
        <f>IFERROR(__xludf.DUMMYFUNCTION("SPLIT(G119, "", "")"),44462.0)</f>
        <v>44462</v>
      </c>
      <c r="I119" s="15">
        <f>IFERROR(__xludf.DUMMYFUNCTION("""COMPUTED_VALUE"""),0.6054282407407408)</f>
        <v>0.6054282407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12">
        <v>3.32</v>
      </c>
      <c r="B120" s="12">
        <v>226.0</v>
      </c>
      <c r="C120" s="12">
        <v>471.6</v>
      </c>
      <c r="D120" s="12">
        <v>2.96</v>
      </c>
      <c r="E120" s="12">
        <v>0.63</v>
      </c>
      <c r="F120" s="12">
        <v>50.0</v>
      </c>
      <c r="G120" s="13">
        <v>44462.60552143518</v>
      </c>
      <c r="H120" s="14">
        <f>IFERROR(__xludf.DUMMYFUNCTION("SPLIT(G120, "", "")"),44462.0)</f>
        <v>44462</v>
      </c>
      <c r="I120" s="15">
        <f>IFERROR(__xludf.DUMMYFUNCTION("""COMPUTED_VALUE"""),0.6055208333333333)</f>
        <v>0.6055208333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12">
        <v>3.32</v>
      </c>
      <c r="B121" s="12">
        <v>225.9</v>
      </c>
      <c r="C121" s="12">
        <v>471.7</v>
      </c>
      <c r="D121" s="12">
        <v>2.96</v>
      </c>
      <c r="E121" s="12">
        <v>0.63</v>
      </c>
      <c r="F121" s="12">
        <v>50.0</v>
      </c>
      <c r="G121" s="13">
        <v>44462.60562530093</v>
      </c>
      <c r="H121" s="14">
        <f>IFERROR(__xludf.DUMMYFUNCTION("SPLIT(G121, "", "")"),44462.0)</f>
        <v>44462</v>
      </c>
      <c r="I121" s="15">
        <f>IFERROR(__xludf.DUMMYFUNCTION("""COMPUTED_VALUE"""),0.605625)</f>
        <v>0.605625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12">
        <v>3.32</v>
      </c>
      <c r="B122" s="12">
        <v>225.7</v>
      </c>
      <c r="C122" s="12">
        <v>471.7</v>
      </c>
      <c r="D122" s="12">
        <v>2.96</v>
      </c>
      <c r="E122" s="12">
        <v>0.63</v>
      </c>
      <c r="F122" s="12">
        <v>50.0</v>
      </c>
      <c r="G122" s="13">
        <v>44462.605725393514</v>
      </c>
      <c r="H122" s="14">
        <f>IFERROR(__xludf.DUMMYFUNCTION("SPLIT(G122, "", "")"),44462.0)</f>
        <v>44462</v>
      </c>
      <c r="I122" s="15">
        <f>IFERROR(__xludf.DUMMYFUNCTION("""COMPUTED_VALUE"""),0.6057291666666667)</f>
        <v>0.6057291667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12">
        <v>3.31</v>
      </c>
      <c r="B123" s="12">
        <v>225.9</v>
      </c>
      <c r="C123" s="12">
        <v>471.8</v>
      </c>
      <c r="D123" s="12">
        <v>2.96</v>
      </c>
      <c r="E123" s="12">
        <v>0.63</v>
      </c>
      <c r="F123" s="12">
        <v>50.0</v>
      </c>
      <c r="G123" s="13">
        <v>44462.605828125</v>
      </c>
      <c r="H123" s="14">
        <f>IFERROR(__xludf.DUMMYFUNCTION("SPLIT(G123, "", "")"),44462.0)</f>
        <v>44462</v>
      </c>
      <c r="I123" s="15">
        <f>IFERROR(__xludf.DUMMYFUNCTION("""COMPUTED_VALUE"""),0.6058333333333333)</f>
        <v>0.6058333333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12">
        <v>3.32</v>
      </c>
      <c r="B124" s="12">
        <v>225.7</v>
      </c>
      <c r="C124" s="12">
        <v>471.8</v>
      </c>
      <c r="D124" s="12">
        <v>2.96</v>
      </c>
      <c r="E124" s="12">
        <v>0.63</v>
      </c>
      <c r="F124" s="12">
        <v>50.0</v>
      </c>
      <c r="G124" s="13">
        <v>44462.605925625</v>
      </c>
      <c r="H124" s="14">
        <f>IFERROR(__xludf.DUMMYFUNCTION("SPLIT(G124, "", "")"),44462.0)</f>
        <v>44462</v>
      </c>
      <c r="I124" s="15">
        <f>IFERROR(__xludf.DUMMYFUNCTION("""COMPUTED_VALUE"""),0.605925925925926)</f>
        <v>0.6059259259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12">
        <v>3.31</v>
      </c>
      <c r="B125" s="12">
        <v>226.0</v>
      </c>
      <c r="C125" s="12">
        <v>472.1</v>
      </c>
      <c r="D125" s="12">
        <v>2.96</v>
      </c>
      <c r="E125" s="12">
        <v>0.63</v>
      </c>
      <c r="F125" s="12">
        <v>50.0</v>
      </c>
      <c r="G125" s="13">
        <v>44462.60602222222</v>
      </c>
      <c r="H125" s="14">
        <f>IFERROR(__xludf.DUMMYFUNCTION("SPLIT(G125, "", "")"),44462.0)</f>
        <v>44462</v>
      </c>
      <c r="I125" s="15">
        <f>IFERROR(__xludf.DUMMYFUNCTION("""COMPUTED_VALUE"""),0.6060185185185185)</f>
        <v>0.6060185185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12">
        <v>3.31</v>
      </c>
      <c r="B126" s="12">
        <v>226.0</v>
      </c>
      <c r="C126" s="12">
        <v>472.2</v>
      </c>
      <c r="D126" s="12">
        <v>2.97</v>
      </c>
      <c r="E126" s="12">
        <v>0.63</v>
      </c>
      <c r="F126" s="12">
        <v>50.0</v>
      </c>
      <c r="G126" s="13">
        <v>44462.60611945602</v>
      </c>
      <c r="H126" s="14">
        <f>IFERROR(__xludf.DUMMYFUNCTION("SPLIT(G126, "", "")"),44462.0)</f>
        <v>44462</v>
      </c>
      <c r="I126" s="15">
        <f>IFERROR(__xludf.DUMMYFUNCTION("""COMPUTED_VALUE"""),0.6061226851851852)</f>
        <v>0.6061226852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12">
        <v>3.31</v>
      </c>
      <c r="B127" s="12">
        <v>226.0</v>
      </c>
      <c r="C127" s="12">
        <v>472.2</v>
      </c>
      <c r="D127" s="12">
        <v>2.97</v>
      </c>
      <c r="E127" s="12">
        <v>0.63</v>
      </c>
      <c r="F127" s="12">
        <v>50.0</v>
      </c>
      <c r="G127" s="13">
        <v>44462.606215277774</v>
      </c>
      <c r="H127" s="14">
        <f>IFERROR(__xludf.DUMMYFUNCTION("SPLIT(G127, "", "")"),44462.0)</f>
        <v>44462</v>
      </c>
      <c r="I127" s="15">
        <f>IFERROR(__xludf.DUMMYFUNCTION("""COMPUTED_VALUE"""),0.6062152777777777)</f>
        <v>0.6062152778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12">
        <v>3.31</v>
      </c>
      <c r="B128" s="12">
        <v>226.2</v>
      </c>
      <c r="C128" s="12">
        <v>472.4</v>
      </c>
      <c r="D128" s="12">
        <v>2.97</v>
      </c>
      <c r="E128" s="12">
        <v>0.63</v>
      </c>
      <c r="F128" s="12">
        <v>50.0</v>
      </c>
      <c r="G128" s="13">
        <v>44462.60631137731</v>
      </c>
      <c r="H128" s="14">
        <f>IFERROR(__xludf.DUMMYFUNCTION("SPLIT(G128, "", "")"),44462.0)</f>
        <v>44462</v>
      </c>
      <c r="I128" s="15">
        <f>IFERROR(__xludf.DUMMYFUNCTION("""COMPUTED_VALUE"""),0.6063078703703704)</f>
        <v>0.6063078704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12">
        <v>3.3</v>
      </c>
      <c r="B129" s="12">
        <v>226.4</v>
      </c>
      <c r="C129" s="12">
        <v>472.4</v>
      </c>
      <c r="D129" s="12">
        <v>2.97</v>
      </c>
      <c r="E129" s="12">
        <v>0.63</v>
      </c>
      <c r="F129" s="12">
        <v>50.0</v>
      </c>
      <c r="G129" s="13">
        <v>44462.60640844908</v>
      </c>
      <c r="H129" s="14">
        <f>IFERROR(__xludf.DUMMYFUNCTION("SPLIT(G129, "", "")"),44462.0)</f>
        <v>44462</v>
      </c>
      <c r="I129" s="15">
        <f>IFERROR(__xludf.DUMMYFUNCTION("""COMPUTED_VALUE"""),0.606412037037037)</f>
        <v>0.606412037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12">
        <v>3.3</v>
      </c>
      <c r="B130" s="12">
        <v>226.2</v>
      </c>
      <c r="C130" s="12">
        <v>472.4</v>
      </c>
      <c r="D130" s="12">
        <v>2.97</v>
      </c>
      <c r="E130" s="12">
        <v>0.63</v>
      </c>
      <c r="F130" s="12">
        <v>50.0</v>
      </c>
      <c r="G130" s="13">
        <v>44462.60650613426</v>
      </c>
      <c r="H130" s="14">
        <f>IFERROR(__xludf.DUMMYFUNCTION("SPLIT(G130, "", "")"),44462.0)</f>
        <v>44462</v>
      </c>
      <c r="I130" s="15">
        <f>IFERROR(__xludf.DUMMYFUNCTION("""COMPUTED_VALUE"""),0.6065046296296296)</f>
        <v>0.6065046296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12">
        <v>3.3</v>
      </c>
      <c r="B131" s="12">
        <v>226.3</v>
      </c>
      <c r="C131" s="12">
        <v>472.5</v>
      </c>
      <c r="D131" s="12">
        <v>2.97</v>
      </c>
      <c r="E131" s="12">
        <v>0.63</v>
      </c>
      <c r="F131" s="12">
        <v>50.0</v>
      </c>
      <c r="G131" s="13">
        <v>44462.606603900465</v>
      </c>
      <c r="H131" s="14">
        <f>IFERROR(__xludf.DUMMYFUNCTION("SPLIT(G131, "", "")"),44462.0)</f>
        <v>44462</v>
      </c>
      <c r="I131" s="15">
        <f>IFERROR(__xludf.DUMMYFUNCTION("""COMPUTED_VALUE"""),0.6066087962962963)</f>
        <v>0.6066087963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12">
        <v>3.3</v>
      </c>
      <c r="B132" s="12">
        <v>226.2</v>
      </c>
      <c r="C132" s="12">
        <v>472.7</v>
      </c>
      <c r="D132" s="12">
        <v>2.97</v>
      </c>
      <c r="E132" s="12">
        <v>0.63</v>
      </c>
      <c r="F132" s="12">
        <v>50.0</v>
      </c>
      <c r="G132" s="13">
        <v>44462.60670318287</v>
      </c>
      <c r="H132" s="14">
        <f>IFERROR(__xludf.DUMMYFUNCTION("SPLIT(G132, "", "")"),44462.0)</f>
        <v>44462</v>
      </c>
      <c r="I132" s="15">
        <f>IFERROR(__xludf.DUMMYFUNCTION("""COMPUTED_VALUE"""),0.6067013888888889)</f>
        <v>0.6067013889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12">
        <v>3.3</v>
      </c>
      <c r="B133" s="12">
        <v>226.1</v>
      </c>
      <c r="C133" s="12">
        <v>472.8</v>
      </c>
      <c r="D133" s="12">
        <v>2.97</v>
      </c>
      <c r="E133" s="12">
        <v>0.63</v>
      </c>
      <c r="F133" s="12">
        <v>50.0</v>
      </c>
      <c r="G133" s="13">
        <v>44462.60680454861</v>
      </c>
      <c r="H133" s="14">
        <f>IFERROR(__xludf.DUMMYFUNCTION("SPLIT(G133, "", "")"),44462.0)</f>
        <v>44462</v>
      </c>
      <c r="I133" s="15">
        <f>IFERROR(__xludf.DUMMYFUNCTION("""COMPUTED_VALUE"""),0.6068055555555556)</f>
        <v>0.6068055556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12">
        <v>3.3</v>
      </c>
      <c r="B134" s="12">
        <v>226.1</v>
      </c>
      <c r="C134" s="12">
        <v>472.9</v>
      </c>
      <c r="D134" s="12">
        <v>2.97</v>
      </c>
      <c r="E134" s="12">
        <v>0.63</v>
      </c>
      <c r="F134" s="12">
        <v>50.0</v>
      </c>
      <c r="G134" s="13">
        <v>44462.60690518518</v>
      </c>
      <c r="H134" s="14">
        <f>IFERROR(__xludf.DUMMYFUNCTION("SPLIT(G134, "", "")"),44462.0)</f>
        <v>44462</v>
      </c>
      <c r="I134" s="15">
        <f>IFERROR(__xludf.DUMMYFUNCTION("""COMPUTED_VALUE"""),0.6069097222222222)</f>
        <v>0.6069097222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12">
        <v>3.3</v>
      </c>
      <c r="B135" s="12">
        <v>226.3</v>
      </c>
      <c r="C135" s="12">
        <v>473.1</v>
      </c>
      <c r="D135" s="12">
        <v>2.98</v>
      </c>
      <c r="E135" s="12">
        <v>0.63</v>
      </c>
      <c r="F135" s="12">
        <v>50.0</v>
      </c>
      <c r="G135" s="13">
        <v>44462.607010694446</v>
      </c>
      <c r="H135" s="14">
        <f>IFERROR(__xludf.DUMMYFUNCTION("SPLIT(G135, "", "")"),44462.0)</f>
        <v>44462</v>
      </c>
      <c r="I135" s="15">
        <f>IFERROR(__xludf.DUMMYFUNCTION("""COMPUTED_VALUE"""),0.6070138888888889)</f>
        <v>0.6070138889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12">
        <v>3.31</v>
      </c>
      <c r="B136" s="12">
        <v>226.4</v>
      </c>
      <c r="C136" s="12">
        <v>473.1</v>
      </c>
      <c r="D136" s="12">
        <v>2.98</v>
      </c>
      <c r="E136" s="12">
        <v>0.63</v>
      </c>
      <c r="F136" s="12">
        <v>50.0</v>
      </c>
      <c r="G136" s="13">
        <v>44462.607113715276</v>
      </c>
      <c r="H136" s="14">
        <f>IFERROR(__xludf.DUMMYFUNCTION("SPLIT(G136, "", "")"),44462.0)</f>
        <v>44462</v>
      </c>
      <c r="I136" s="15">
        <f>IFERROR(__xludf.DUMMYFUNCTION("""COMPUTED_VALUE"""),0.6071180555555555)</f>
        <v>0.6071180556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12">
        <v>3.31</v>
      </c>
      <c r="B137" s="12">
        <v>226.3</v>
      </c>
      <c r="C137" s="12">
        <v>473.4</v>
      </c>
      <c r="D137" s="12">
        <v>2.98</v>
      </c>
      <c r="E137" s="12">
        <v>0.63</v>
      </c>
      <c r="F137" s="12">
        <v>50.0</v>
      </c>
      <c r="G137" s="13">
        <v>44462.607211678245</v>
      </c>
      <c r="H137" s="14">
        <f>IFERROR(__xludf.DUMMYFUNCTION("SPLIT(G137, "", "")"),44462.0)</f>
        <v>44462</v>
      </c>
      <c r="I137" s="15">
        <f>IFERROR(__xludf.DUMMYFUNCTION("""COMPUTED_VALUE"""),0.6072106481481482)</f>
        <v>0.6072106481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12">
        <v>3.32</v>
      </c>
      <c r="B138" s="12">
        <v>226.2</v>
      </c>
      <c r="C138" s="12">
        <v>473.4</v>
      </c>
      <c r="D138" s="12">
        <v>2.98</v>
      </c>
      <c r="E138" s="12">
        <v>0.63</v>
      </c>
      <c r="F138" s="12">
        <v>50.0</v>
      </c>
      <c r="G138" s="13">
        <v>44462.607312824075</v>
      </c>
      <c r="H138" s="14">
        <f>IFERROR(__xludf.DUMMYFUNCTION("SPLIT(G138, "", "")"),44462.0)</f>
        <v>44462</v>
      </c>
      <c r="I138" s="15">
        <f>IFERROR(__xludf.DUMMYFUNCTION("""COMPUTED_VALUE"""),0.6073148148148149)</f>
        <v>0.6073148148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12">
        <v>3.31</v>
      </c>
      <c r="B139" s="12">
        <v>226.2</v>
      </c>
      <c r="C139" s="12">
        <v>473.5</v>
      </c>
      <c r="D139" s="12">
        <v>2.98</v>
      </c>
      <c r="E139" s="12">
        <v>0.63</v>
      </c>
      <c r="F139" s="12">
        <v>50.0</v>
      </c>
      <c r="G139" s="13">
        <v>44462.60741171296</v>
      </c>
      <c r="H139" s="14">
        <f>IFERROR(__xludf.DUMMYFUNCTION("SPLIT(G139, "", "")"),44462.0)</f>
        <v>44462</v>
      </c>
      <c r="I139" s="15">
        <f>IFERROR(__xludf.DUMMYFUNCTION("""COMPUTED_VALUE"""),0.6074074074074074)</f>
        <v>0.6074074074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12">
        <v>3.32</v>
      </c>
      <c r="B140" s="12">
        <v>226.2</v>
      </c>
      <c r="C140" s="12">
        <v>473.7</v>
      </c>
      <c r="D140" s="12">
        <v>2.98</v>
      </c>
      <c r="E140" s="12">
        <v>0.63</v>
      </c>
      <c r="F140" s="12">
        <v>50.0</v>
      </c>
      <c r="G140" s="13">
        <v>44462.60751159722</v>
      </c>
      <c r="H140" s="14">
        <f>IFERROR(__xludf.DUMMYFUNCTION("SPLIT(G140, "", "")"),44462.0)</f>
        <v>44462</v>
      </c>
      <c r="I140" s="15">
        <f>IFERROR(__xludf.DUMMYFUNCTION("""COMPUTED_VALUE"""),0.6075115740740741)</f>
        <v>0.6075115741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12">
        <v>3.31</v>
      </c>
      <c r="B141" s="12">
        <v>226.3</v>
      </c>
      <c r="C141" s="12">
        <v>473.6</v>
      </c>
      <c r="D141" s="12">
        <v>2.98</v>
      </c>
      <c r="E141" s="12">
        <v>0.63</v>
      </c>
      <c r="F141" s="12">
        <v>50.0</v>
      </c>
      <c r="G141" s="13">
        <v>44462.607614189816</v>
      </c>
      <c r="H141" s="14">
        <f>IFERROR(__xludf.DUMMYFUNCTION("SPLIT(G141, "", "")"),44462.0)</f>
        <v>44462</v>
      </c>
      <c r="I141" s="15">
        <f>IFERROR(__xludf.DUMMYFUNCTION("""COMPUTED_VALUE"""),0.6076157407407408)</f>
        <v>0.6076157407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12">
        <v>3.32</v>
      </c>
      <c r="B142" s="12">
        <v>226.1</v>
      </c>
      <c r="C142" s="12">
        <v>473.8</v>
      </c>
      <c r="D142" s="12">
        <v>2.98</v>
      </c>
      <c r="E142" s="12">
        <v>0.63</v>
      </c>
      <c r="F142" s="12">
        <v>50.0</v>
      </c>
      <c r="G142" s="13">
        <v>44462.60771884259</v>
      </c>
      <c r="H142" s="14">
        <f>IFERROR(__xludf.DUMMYFUNCTION("SPLIT(G142, "", "")"),44462.0)</f>
        <v>44462</v>
      </c>
      <c r="I142" s="15">
        <f>IFERROR(__xludf.DUMMYFUNCTION("""COMPUTED_VALUE"""),0.6077199074074074)</f>
        <v>0.6077199074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12">
        <v>3.31</v>
      </c>
      <c r="B143" s="12">
        <v>226.2</v>
      </c>
      <c r="C143" s="12">
        <v>474.0</v>
      </c>
      <c r="D143" s="12">
        <v>2.99</v>
      </c>
      <c r="E143" s="12">
        <v>0.63</v>
      </c>
      <c r="F143" s="12">
        <v>50.0</v>
      </c>
      <c r="G143" s="13">
        <v>44462.6078165162</v>
      </c>
      <c r="H143" s="14">
        <f>IFERROR(__xludf.DUMMYFUNCTION("SPLIT(G143, "", "")"),44462.0)</f>
        <v>44462</v>
      </c>
      <c r="I143" s="15">
        <f>IFERROR(__xludf.DUMMYFUNCTION("""COMPUTED_VALUE"""),0.6078125)</f>
        <v>0.6078125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12">
        <v>3.32</v>
      </c>
      <c r="B144" s="12">
        <v>226.2</v>
      </c>
      <c r="C144" s="12">
        <v>474.0</v>
      </c>
      <c r="D144" s="12">
        <v>2.99</v>
      </c>
      <c r="E144" s="12">
        <v>0.63</v>
      </c>
      <c r="F144" s="12">
        <v>50.0</v>
      </c>
      <c r="G144" s="13">
        <v>44462.60791600695</v>
      </c>
      <c r="H144" s="14">
        <f>IFERROR(__xludf.DUMMYFUNCTION("SPLIT(G144, "", "")"),44462.0)</f>
        <v>44462</v>
      </c>
      <c r="I144" s="15">
        <f>IFERROR(__xludf.DUMMYFUNCTION("""COMPUTED_VALUE"""),0.6079166666666667)</f>
        <v>0.6079166667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12">
        <v>3.32</v>
      </c>
      <c r="B145" s="12">
        <v>226.2</v>
      </c>
      <c r="C145" s="12">
        <v>474.2</v>
      </c>
      <c r="D145" s="12">
        <v>2.99</v>
      </c>
      <c r="E145" s="12">
        <v>0.63</v>
      </c>
      <c r="F145" s="12">
        <v>50.0</v>
      </c>
      <c r="G145" s="13">
        <v>44462.60801964121</v>
      </c>
      <c r="H145" s="14">
        <f>IFERROR(__xludf.DUMMYFUNCTION("SPLIT(G145, "", "")"),44462.0)</f>
        <v>44462</v>
      </c>
      <c r="I145" s="15">
        <f>IFERROR(__xludf.DUMMYFUNCTION("""COMPUTED_VALUE"""),0.6080208333333333)</f>
        <v>0.6080208333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12">
        <v>3.32</v>
      </c>
      <c r="B146" s="12">
        <v>226.3</v>
      </c>
      <c r="C146" s="12">
        <v>474.3</v>
      </c>
      <c r="D146" s="12">
        <v>2.99</v>
      </c>
      <c r="E146" s="12">
        <v>0.63</v>
      </c>
      <c r="F146" s="12">
        <v>50.0</v>
      </c>
      <c r="G146" s="13">
        <v>44462.608120150464</v>
      </c>
      <c r="H146" s="14">
        <f>IFERROR(__xludf.DUMMYFUNCTION("SPLIT(G146, "", "")"),44462.0)</f>
        <v>44462</v>
      </c>
      <c r="I146" s="15">
        <f>IFERROR(__xludf.DUMMYFUNCTION("""COMPUTED_VALUE"""),0.608125)</f>
        <v>0.608125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12">
        <v>3.32</v>
      </c>
      <c r="B147" s="12">
        <v>226.3</v>
      </c>
      <c r="C147" s="12">
        <v>474.3</v>
      </c>
      <c r="D147" s="12">
        <v>2.99</v>
      </c>
      <c r="E147" s="12">
        <v>0.63</v>
      </c>
      <c r="F147" s="12">
        <v>50.0</v>
      </c>
      <c r="G147" s="13">
        <v>44462.60821707176</v>
      </c>
      <c r="H147" s="14">
        <f>IFERROR(__xludf.DUMMYFUNCTION("SPLIT(G147, "", "")"),44462.0)</f>
        <v>44462</v>
      </c>
      <c r="I147" s="15">
        <f>IFERROR(__xludf.DUMMYFUNCTION("""COMPUTED_VALUE"""),0.6082175925925926)</f>
        <v>0.6082175926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12">
        <v>3.32</v>
      </c>
      <c r="B148" s="12">
        <v>226.2</v>
      </c>
      <c r="C148" s="12">
        <v>474.4</v>
      </c>
      <c r="D148" s="12">
        <v>2.99</v>
      </c>
      <c r="E148" s="12">
        <v>0.63</v>
      </c>
      <c r="F148" s="12">
        <v>50.0</v>
      </c>
      <c r="G148" s="13">
        <v>44462.60831497685</v>
      </c>
      <c r="H148" s="14">
        <f>IFERROR(__xludf.DUMMYFUNCTION("SPLIT(G148, "", "")"),44462.0)</f>
        <v>44462</v>
      </c>
      <c r="I148" s="15">
        <f>IFERROR(__xludf.DUMMYFUNCTION("""COMPUTED_VALUE"""),0.6083101851851852)</f>
        <v>0.6083101852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12">
        <v>3.33</v>
      </c>
      <c r="B149" s="12">
        <v>226.3</v>
      </c>
      <c r="C149" s="12">
        <v>474.6</v>
      </c>
      <c r="D149" s="12">
        <v>2.99</v>
      </c>
      <c r="E149" s="12">
        <v>0.63</v>
      </c>
      <c r="F149" s="12">
        <v>50.0</v>
      </c>
      <c r="G149" s="13">
        <v>44462.60841725694</v>
      </c>
      <c r="H149" s="14">
        <f>IFERROR(__xludf.DUMMYFUNCTION("SPLIT(G149, "", "")"),44462.0)</f>
        <v>44462</v>
      </c>
      <c r="I149" s="15">
        <f>IFERROR(__xludf.DUMMYFUNCTION("""COMPUTED_VALUE"""),0.6084143518518519)</f>
        <v>0.6084143519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12">
        <v>3.32</v>
      </c>
      <c r="B150" s="12">
        <v>226.3</v>
      </c>
      <c r="C150" s="12">
        <v>474.5</v>
      </c>
      <c r="D150" s="12">
        <v>2.99</v>
      </c>
      <c r="E150" s="12">
        <v>0.63</v>
      </c>
      <c r="F150" s="12">
        <v>50.0</v>
      </c>
      <c r="G150" s="13">
        <v>44462.608514189815</v>
      </c>
      <c r="H150" s="14">
        <f>IFERROR(__xludf.DUMMYFUNCTION("SPLIT(G150, "", "")"),44462.0)</f>
        <v>44462</v>
      </c>
      <c r="I150" s="15">
        <f>IFERROR(__xludf.DUMMYFUNCTION("""COMPUTED_VALUE"""),0.6085185185185186)</f>
        <v>0.6085185185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12">
        <v>3.31</v>
      </c>
      <c r="B151" s="12">
        <v>226.3</v>
      </c>
      <c r="C151" s="12">
        <v>474.6</v>
      </c>
      <c r="D151" s="12">
        <v>2.99</v>
      </c>
      <c r="E151" s="12">
        <v>0.63</v>
      </c>
      <c r="F151" s="12">
        <v>49.9</v>
      </c>
      <c r="G151" s="13">
        <v>44462.60861456019</v>
      </c>
      <c r="H151" s="14">
        <f>IFERROR(__xludf.DUMMYFUNCTION("SPLIT(G151, "", "")"),44462.0)</f>
        <v>44462</v>
      </c>
      <c r="I151" s="15">
        <f>IFERROR(__xludf.DUMMYFUNCTION("""COMPUTED_VALUE"""),0.6086111111111111)</f>
        <v>0.6086111111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12">
        <v>3.32</v>
      </c>
      <c r="B152" s="12">
        <v>226.1</v>
      </c>
      <c r="C152" s="12">
        <v>474.9</v>
      </c>
      <c r="D152" s="12">
        <v>3.0</v>
      </c>
      <c r="E152" s="12">
        <v>0.63</v>
      </c>
      <c r="F152" s="12">
        <v>50.0</v>
      </c>
      <c r="G152" s="13">
        <v>44462.608713344904</v>
      </c>
      <c r="H152" s="14">
        <f>IFERROR(__xludf.DUMMYFUNCTION("SPLIT(G152, "", "")"),44462.0)</f>
        <v>44462</v>
      </c>
      <c r="I152" s="15">
        <f>IFERROR(__xludf.DUMMYFUNCTION("""COMPUTED_VALUE"""),0.6087152777777778)</f>
        <v>0.6087152778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12">
        <v>3.32</v>
      </c>
      <c r="B153" s="12">
        <v>226.1</v>
      </c>
      <c r="C153" s="12">
        <v>474.8</v>
      </c>
      <c r="D153" s="12">
        <v>3.0</v>
      </c>
      <c r="E153" s="12">
        <v>0.63</v>
      </c>
      <c r="F153" s="12">
        <v>49.9</v>
      </c>
      <c r="G153" s="13">
        <v>44462.608810324076</v>
      </c>
      <c r="H153" s="14">
        <f>IFERROR(__xludf.DUMMYFUNCTION("SPLIT(G153, "", "")"),44462.0)</f>
        <v>44462</v>
      </c>
      <c r="I153" s="15">
        <f>IFERROR(__xludf.DUMMYFUNCTION("""COMPUTED_VALUE"""),0.6088078703703703)</f>
        <v>0.6088078704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12">
        <v>3.33</v>
      </c>
      <c r="B154" s="12">
        <v>226.0</v>
      </c>
      <c r="C154" s="12">
        <v>475.0</v>
      </c>
      <c r="D154" s="12">
        <v>3.0</v>
      </c>
      <c r="E154" s="12">
        <v>0.63</v>
      </c>
      <c r="F154" s="12">
        <v>49.9</v>
      </c>
      <c r="G154" s="13">
        <v>44462.60891043981</v>
      </c>
      <c r="H154" s="14">
        <f>IFERROR(__xludf.DUMMYFUNCTION("SPLIT(G154, "", "")"),44462.0)</f>
        <v>44462</v>
      </c>
      <c r="I154" s="15">
        <f>IFERROR(__xludf.DUMMYFUNCTION("""COMPUTED_VALUE"""),0.608912037037037)</f>
        <v>0.608912037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12">
        <v>3.32</v>
      </c>
      <c r="B155" s="12">
        <v>226.3</v>
      </c>
      <c r="C155" s="12">
        <v>475.2</v>
      </c>
      <c r="D155" s="12">
        <v>3.0</v>
      </c>
      <c r="E155" s="12">
        <v>0.63</v>
      </c>
      <c r="F155" s="12">
        <v>50.0</v>
      </c>
      <c r="G155" s="13">
        <v>44462.609015752314</v>
      </c>
      <c r="H155" s="14">
        <f>IFERROR(__xludf.DUMMYFUNCTION("SPLIT(G155, "", "")"),44462.0)</f>
        <v>44462</v>
      </c>
      <c r="I155" s="15">
        <f>IFERROR(__xludf.DUMMYFUNCTION("""COMPUTED_VALUE"""),0.6090162037037037)</f>
        <v>0.6090162037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12">
        <v>3.32</v>
      </c>
      <c r="B156" s="12">
        <v>226.1</v>
      </c>
      <c r="C156" s="12">
        <v>475.2</v>
      </c>
      <c r="D156" s="12">
        <v>3.0</v>
      </c>
      <c r="E156" s="12">
        <v>0.63</v>
      </c>
      <c r="F156" s="12">
        <v>50.0</v>
      </c>
      <c r="G156" s="13">
        <v>44462.60911943287</v>
      </c>
      <c r="H156" s="14">
        <f>IFERROR(__xludf.DUMMYFUNCTION("SPLIT(G156, "", "")"),44462.0)</f>
        <v>44462</v>
      </c>
      <c r="I156" s="15">
        <f>IFERROR(__xludf.DUMMYFUNCTION("""COMPUTED_VALUE"""),0.6091203703703704)</f>
        <v>0.6091203704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12">
        <v>3.32</v>
      </c>
      <c r="B157" s="12">
        <v>226.2</v>
      </c>
      <c r="C157" s="12">
        <v>475.3</v>
      </c>
      <c r="D157" s="12">
        <v>3.0</v>
      </c>
      <c r="E157" s="12">
        <v>0.63</v>
      </c>
      <c r="F157" s="12">
        <v>50.0</v>
      </c>
      <c r="G157" s="13">
        <v>44462.60921858797</v>
      </c>
      <c r="H157" s="14">
        <f>IFERROR(__xludf.DUMMYFUNCTION("SPLIT(G157, "", "")"),44462.0)</f>
        <v>44462</v>
      </c>
      <c r="I157" s="15">
        <f>IFERROR(__xludf.DUMMYFUNCTION("""COMPUTED_VALUE"""),0.609212962962963)</f>
        <v>0.609212963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12">
        <v>3.33</v>
      </c>
      <c r="B158" s="12">
        <v>226.1</v>
      </c>
      <c r="C158" s="12">
        <v>475.5</v>
      </c>
      <c r="D158" s="12">
        <v>3.0</v>
      </c>
      <c r="E158" s="12">
        <v>0.63</v>
      </c>
      <c r="F158" s="12">
        <v>50.0</v>
      </c>
      <c r="G158" s="13">
        <v>44462.6093183912</v>
      </c>
      <c r="H158" s="14">
        <f>IFERROR(__xludf.DUMMYFUNCTION("SPLIT(G158, "", "")"),44462.0)</f>
        <v>44462</v>
      </c>
      <c r="I158" s="15">
        <f>IFERROR(__xludf.DUMMYFUNCTION("""COMPUTED_VALUE"""),0.6093171296296296)</f>
        <v>0.6093171296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12">
        <v>3.33</v>
      </c>
      <c r="B159" s="12">
        <v>225.9</v>
      </c>
      <c r="C159" s="12">
        <v>475.6</v>
      </c>
      <c r="D159" s="12">
        <v>3.0</v>
      </c>
      <c r="E159" s="12">
        <v>0.63</v>
      </c>
      <c r="F159" s="12">
        <v>50.0</v>
      </c>
      <c r="G159" s="13">
        <v>44462.6094175926</v>
      </c>
      <c r="H159" s="14">
        <f>IFERROR(__xludf.DUMMYFUNCTION("SPLIT(G159, "", "")"),44462.0)</f>
        <v>44462</v>
      </c>
      <c r="I159" s="15">
        <f>IFERROR(__xludf.DUMMYFUNCTION("""COMPUTED_VALUE"""),0.6094212962962963)</f>
        <v>0.6094212963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12">
        <v>3.33</v>
      </c>
      <c r="B160" s="12">
        <v>226.0</v>
      </c>
      <c r="C160" s="12">
        <v>475.6</v>
      </c>
      <c r="D160" s="12">
        <v>3.01</v>
      </c>
      <c r="E160" s="12">
        <v>0.63</v>
      </c>
      <c r="F160" s="12">
        <v>50.0</v>
      </c>
      <c r="G160" s="13">
        <v>44462.60951724537</v>
      </c>
      <c r="H160" s="14">
        <f>IFERROR(__xludf.DUMMYFUNCTION("SPLIT(G160, "", "")"),44462.0)</f>
        <v>44462</v>
      </c>
      <c r="I160" s="15">
        <f>IFERROR(__xludf.DUMMYFUNCTION("""COMPUTED_VALUE"""),0.6095138888888889)</f>
        <v>0.6095138889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12">
        <v>3.33</v>
      </c>
      <c r="B161" s="12">
        <v>226.1</v>
      </c>
      <c r="C161" s="12">
        <v>475.8</v>
      </c>
      <c r="D161" s="12">
        <v>3.01</v>
      </c>
      <c r="E161" s="12">
        <v>0.63</v>
      </c>
      <c r="F161" s="12">
        <v>50.0</v>
      </c>
      <c r="G161" s="13">
        <v>44462.6096209838</v>
      </c>
      <c r="H161" s="14">
        <f>IFERROR(__xludf.DUMMYFUNCTION("SPLIT(G161, "", "")"),44462.0)</f>
        <v>44462</v>
      </c>
      <c r="I161" s="15">
        <f>IFERROR(__xludf.DUMMYFUNCTION("""COMPUTED_VALUE"""),0.6096180555555556)</f>
        <v>0.6096180556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12">
        <v>3.33</v>
      </c>
      <c r="B162" s="12">
        <v>226.0</v>
      </c>
      <c r="C162" s="12">
        <v>475.7</v>
      </c>
      <c r="D162" s="12">
        <v>3.01</v>
      </c>
      <c r="E162" s="12">
        <v>0.63</v>
      </c>
      <c r="F162" s="12">
        <v>50.0</v>
      </c>
      <c r="G162" s="13">
        <v>44462.60972158565</v>
      </c>
      <c r="H162" s="14">
        <f>IFERROR(__xludf.DUMMYFUNCTION("SPLIT(G162, "", "")"),44462.0)</f>
        <v>44462</v>
      </c>
      <c r="I162" s="15">
        <f>IFERROR(__xludf.DUMMYFUNCTION("""COMPUTED_VALUE"""),0.6097222222222223)</f>
        <v>0.6097222222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12">
        <v>3.32</v>
      </c>
      <c r="B163" s="12">
        <v>226.2</v>
      </c>
      <c r="C163" s="12">
        <v>475.9</v>
      </c>
      <c r="D163" s="12">
        <v>3.01</v>
      </c>
      <c r="E163" s="12">
        <v>0.63</v>
      </c>
      <c r="F163" s="12">
        <v>50.0</v>
      </c>
      <c r="G163" s="13">
        <v>44462.60982405093</v>
      </c>
      <c r="H163" s="14">
        <f>IFERROR(__xludf.DUMMYFUNCTION("SPLIT(G163, "", "")"),44462.0)</f>
        <v>44462</v>
      </c>
      <c r="I163" s="15">
        <f>IFERROR(__xludf.DUMMYFUNCTION("""COMPUTED_VALUE"""),0.6098263888888888)</f>
        <v>0.6098263889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12">
        <v>3.33</v>
      </c>
      <c r="B164" s="12">
        <v>226.1</v>
      </c>
      <c r="C164" s="12">
        <v>476.0</v>
      </c>
      <c r="D164" s="12">
        <v>3.01</v>
      </c>
      <c r="E164" s="12">
        <v>0.63</v>
      </c>
      <c r="F164" s="12">
        <v>50.0</v>
      </c>
      <c r="G164" s="13">
        <v>44462.609923888886</v>
      </c>
      <c r="H164" s="14">
        <f>IFERROR(__xludf.DUMMYFUNCTION("SPLIT(G164, "", "")"),44462.0)</f>
        <v>44462</v>
      </c>
      <c r="I164" s="15">
        <f>IFERROR(__xludf.DUMMYFUNCTION("""COMPUTED_VALUE"""),0.6099189814814815)</f>
        <v>0.6099189815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12">
        <v>3.33</v>
      </c>
      <c r="B165" s="12">
        <v>226.0</v>
      </c>
      <c r="C165" s="12">
        <v>476.0</v>
      </c>
      <c r="D165" s="12">
        <v>3.01</v>
      </c>
      <c r="E165" s="12">
        <v>0.63</v>
      </c>
      <c r="F165" s="12">
        <v>50.0</v>
      </c>
      <c r="G165" s="13">
        <v>44462.61002875</v>
      </c>
      <c r="H165" s="14">
        <f>IFERROR(__xludf.DUMMYFUNCTION("SPLIT(G165, "", "")"),44462.0)</f>
        <v>44462</v>
      </c>
      <c r="I165" s="15">
        <f>IFERROR(__xludf.DUMMYFUNCTION("""COMPUTED_VALUE"""),0.6100231481481482)</f>
        <v>0.6100231481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12">
        <v>3.33</v>
      </c>
      <c r="B166" s="12">
        <v>225.9</v>
      </c>
      <c r="C166" s="12">
        <v>476.1</v>
      </c>
      <c r="D166" s="12">
        <v>3.01</v>
      </c>
      <c r="E166" s="12">
        <v>0.63</v>
      </c>
      <c r="F166" s="12">
        <v>50.0</v>
      </c>
      <c r="G166" s="13">
        <v>44462.6101290625</v>
      </c>
      <c r="H166" s="14">
        <f>IFERROR(__xludf.DUMMYFUNCTION("SPLIT(G166, "", "")"),44462.0)</f>
        <v>44462</v>
      </c>
      <c r="I166" s="15">
        <f>IFERROR(__xludf.DUMMYFUNCTION("""COMPUTED_VALUE"""),0.6101273148148149)</f>
        <v>0.6101273148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12">
        <v>3.34</v>
      </c>
      <c r="B167" s="12">
        <v>225.9</v>
      </c>
      <c r="C167" s="12">
        <v>476.3</v>
      </c>
      <c r="D167" s="12">
        <v>3.01</v>
      </c>
      <c r="E167" s="12">
        <v>0.63</v>
      </c>
      <c r="F167" s="12">
        <v>49.9</v>
      </c>
      <c r="G167" s="13">
        <v>44462.61045541667</v>
      </c>
      <c r="H167" s="14">
        <f>IFERROR(__xludf.DUMMYFUNCTION("SPLIT(G167, "", "")"),44462.0)</f>
        <v>44462</v>
      </c>
      <c r="I167" s="15">
        <f>IFERROR(__xludf.DUMMYFUNCTION("""COMPUTED_VALUE"""),0.6104513888888888)</f>
        <v>0.6104513889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12">
        <v>3.35</v>
      </c>
      <c r="B168" s="12">
        <v>225.7</v>
      </c>
      <c r="C168" s="12">
        <v>476.6</v>
      </c>
      <c r="D168" s="12">
        <v>3.02</v>
      </c>
      <c r="E168" s="12">
        <v>0.63</v>
      </c>
      <c r="F168" s="12">
        <v>50.0</v>
      </c>
      <c r="G168" s="13">
        <v>44462.61056075231</v>
      </c>
      <c r="H168" s="14">
        <f>IFERROR(__xludf.DUMMYFUNCTION("SPLIT(G168, "", "")"),44462.0)</f>
        <v>44462</v>
      </c>
      <c r="I168" s="15">
        <f>IFERROR(__xludf.DUMMYFUNCTION("""COMPUTED_VALUE"""),0.6105555555555555)</f>
        <v>0.6105555556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12">
        <v>3.34</v>
      </c>
      <c r="B169" s="12">
        <v>225.9</v>
      </c>
      <c r="C169" s="12">
        <v>476.6</v>
      </c>
      <c r="D169" s="12">
        <v>3.02</v>
      </c>
      <c r="E169" s="12">
        <v>0.63</v>
      </c>
      <c r="F169" s="12">
        <v>49.9</v>
      </c>
      <c r="G169" s="13">
        <v>44462.610664444444</v>
      </c>
      <c r="H169" s="14">
        <f>IFERROR(__xludf.DUMMYFUNCTION("SPLIT(G169, "", "")"),44462.0)</f>
        <v>44462</v>
      </c>
      <c r="I169" s="15">
        <f>IFERROR(__xludf.DUMMYFUNCTION("""COMPUTED_VALUE"""),0.6106597222222222)</f>
        <v>0.6106597222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12">
        <v>3.34</v>
      </c>
      <c r="B170" s="12">
        <v>225.8</v>
      </c>
      <c r="C170" s="12">
        <v>476.7</v>
      </c>
      <c r="D170" s="12">
        <v>3.02</v>
      </c>
      <c r="E170" s="12">
        <v>0.63</v>
      </c>
      <c r="F170" s="12">
        <v>49.9</v>
      </c>
      <c r="G170" s="13">
        <v>44462.61076398148</v>
      </c>
      <c r="H170" s="14">
        <f>IFERROR(__xludf.DUMMYFUNCTION("SPLIT(G170, "", "")"),44462.0)</f>
        <v>44462</v>
      </c>
      <c r="I170" s="15">
        <f>IFERROR(__xludf.DUMMYFUNCTION("""COMPUTED_VALUE"""),0.6107638888888889)</f>
        <v>0.6107638889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12">
        <v>3.34</v>
      </c>
      <c r="B171" s="12">
        <v>225.9</v>
      </c>
      <c r="C171" s="12">
        <v>476.9</v>
      </c>
      <c r="D171" s="12">
        <v>3.02</v>
      </c>
      <c r="E171" s="12">
        <v>0.63</v>
      </c>
      <c r="F171" s="12">
        <v>49.9</v>
      </c>
      <c r="G171" s="13">
        <v>44462.61086017361</v>
      </c>
      <c r="H171" s="14">
        <f>IFERROR(__xludf.DUMMYFUNCTION("SPLIT(G171, "", "")"),44462.0)</f>
        <v>44462</v>
      </c>
      <c r="I171" s="15">
        <f>IFERROR(__xludf.DUMMYFUNCTION("""COMPUTED_VALUE"""),0.6108564814814815)</f>
        <v>0.6108564815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12">
        <v>3.34</v>
      </c>
      <c r="B172" s="12">
        <v>225.8</v>
      </c>
      <c r="C172" s="12">
        <v>477.0</v>
      </c>
      <c r="D172" s="12">
        <v>3.02</v>
      </c>
      <c r="E172" s="12">
        <v>0.63</v>
      </c>
      <c r="F172" s="12">
        <v>49.9</v>
      </c>
      <c r="G172" s="13">
        <v>44462.61098196759</v>
      </c>
      <c r="H172" s="14">
        <f>IFERROR(__xludf.DUMMYFUNCTION("SPLIT(G172, "", "")"),44462.0)</f>
        <v>44462</v>
      </c>
      <c r="I172" s="15">
        <f>IFERROR(__xludf.DUMMYFUNCTION("""COMPUTED_VALUE"""),0.6109837962962963)</f>
        <v>0.6109837963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12">
        <v>3.34</v>
      </c>
      <c r="B173" s="12">
        <v>225.8</v>
      </c>
      <c r="C173" s="12">
        <v>477.1</v>
      </c>
      <c r="D173" s="12">
        <v>3.02</v>
      </c>
      <c r="E173" s="12">
        <v>0.63</v>
      </c>
      <c r="F173" s="12">
        <v>50.0</v>
      </c>
      <c r="G173" s="13">
        <v>44462.61108083333</v>
      </c>
      <c r="H173" s="14">
        <f>IFERROR(__xludf.DUMMYFUNCTION("SPLIT(G173, "", "")"),44462.0)</f>
        <v>44462</v>
      </c>
      <c r="I173" s="15">
        <f>IFERROR(__xludf.DUMMYFUNCTION("""COMPUTED_VALUE"""),0.6110763888888889)</f>
        <v>0.6110763889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12">
        <v>3.34</v>
      </c>
      <c r="B174" s="12">
        <v>225.8</v>
      </c>
      <c r="C174" s="12">
        <v>477.2</v>
      </c>
      <c r="D174" s="12">
        <v>3.02</v>
      </c>
      <c r="E174" s="12">
        <v>0.63</v>
      </c>
      <c r="F174" s="12">
        <v>50.0</v>
      </c>
      <c r="G174" s="13">
        <v>44462.611178125</v>
      </c>
      <c r="H174" s="14">
        <f>IFERROR(__xludf.DUMMYFUNCTION("SPLIT(G174, "", "")"),44462.0)</f>
        <v>44462</v>
      </c>
      <c r="I174" s="15">
        <f>IFERROR(__xludf.DUMMYFUNCTION("""COMPUTED_VALUE"""),0.6111805555555555)</f>
        <v>0.6111805556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12">
        <v>3.34</v>
      </c>
      <c r="B175" s="12">
        <v>225.9</v>
      </c>
      <c r="C175" s="12">
        <v>477.2</v>
      </c>
      <c r="D175" s="12">
        <v>3.03</v>
      </c>
      <c r="E175" s="12">
        <v>0.63</v>
      </c>
      <c r="F175" s="12">
        <v>49.9</v>
      </c>
      <c r="G175" s="13">
        <v>44462.61128055556</v>
      </c>
      <c r="H175" s="14">
        <f>IFERROR(__xludf.DUMMYFUNCTION("SPLIT(G175, "", "")"),44462.0)</f>
        <v>44462</v>
      </c>
      <c r="I175" s="15">
        <f>IFERROR(__xludf.DUMMYFUNCTION("""COMPUTED_VALUE"""),0.6112847222222222)</f>
        <v>0.6112847222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12">
        <v>3.34</v>
      </c>
      <c r="B176" s="12">
        <v>225.9</v>
      </c>
      <c r="C176" s="12">
        <v>477.4</v>
      </c>
      <c r="D176" s="12">
        <v>3.03</v>
      </c>
      <c r="E176" s="12">
        <v>0.63</v>
      </c>
      <c r="F176" s="12">
        <v>49.9</v>
      </c>
      <c r="G176" s="13">
        <v>44462.61138306713</v>
      </c>
      <c r="H176" s="14">
        <f>IFERROR(__xludf.DUMMYFUNCTION("SPLIT(G176, "", "")"),44462.0)</f>
        <v>44462</v>
      </c>
      <c r="I176" s="15">
        <f>IFERROR(__xludf.DUMMYFUNCTION("""COMPUTED_VALUE"""),0.6113773148148148)</f>
        <v>0.6113773148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12">
        <v>3.34</v>
      </c>
      <c r="B177" s="12">
        <v>225.9</v>
      </c>
      <c r="C177" s="12">
        <v>477.4</v>
      </c>
      <c r="D177" s="12">
        <v>3.03</v>
      </c>
      <c r="E177" s="12">
        <v>0.63</v>
      </c>
      <c r="F177" s="12">
        <v>49.9</v>
      </c>
      <c r="G177" s="13">
        <v>44462.61148234954</v>
      </c>
      <c r="H177" s="14">
        <f>IFERROR(__xludf.DUMMYFUNCTION("SPLIT(G177, "", "")"),44462.0)</f>
        <v>44462</v>
      </c>
      <c r="I177" s="15">
        <f>IFERROR(__xludf.DUMMYFUNCTION("""COMPUTED_VALUE"""),0.6114814814814815)</f>
        <v>0.6114814815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12">
        <v>3.35</v>
      </c>
      <c r="B178" s="12">
        <v>225.9</v>
      </c>
      <c r="C178" s="12">
        <v>477.6</v>
      </c>
      <c r="D178" s="12">
        <v>3.03</v>
      </c>
      <c r="E178" s="12">
        <v>0.63</v>
      </c>
      <c r="F178" s="12">
        <v>50.0</v>
      </c>
      <c r="G178" s="13">
        <v>44462.6115790162</v>
      </c>
      <c r="H178" s="14">
        <f>IFERROR(__xludf.DUMMYFUNCTION("SPLIT(G178, "", "")"),44462.0)</f>
        <v>44462</v>
      </c>
      <c r="I178" s="15">
        <f>IFERROR(__xludf.DUMMYFUNCTION("""COMPUTED_VALUE"""),0.611574074074074)</f>
        <v>0.6115740741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12">
        <v>3.36</v>
      </c>
      <c r="B179" s="12">
        <v>225.8</v>
      </c>
      <c r="C179" s="12">
        <v>478.1</v>
      </c>
      <c r="D179" s="12">
        <v>3.03</v>
      </c>
      <c r="E179" s="12">
        <v>0.63</v>
      </c>
      <c r="F179" s="12">
        <v>50.0</v>
      </c>
      <c r="G179" s="13">
        <v>44462.611676388886</v>
      </c>
      <c r="H179" s="14">
        <f>IFERROR(__xludf.DUMMYFUNCTION("SPLIT(G179, "", "")"),44462.0)</f>
        <v>44462</v>
      </c>
      <c r="I179" s="15">
        <f>IFERROR(__xludf.DUMMYFUNCTION("""COMPUTED_VALUE"""),0.6116782407407407)</f>
        <v>0.6116782407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12">
        <v>3.37</v>
      </c>
      <c r="B180" s="12">
        <v>226.0</v>
      </c>
      <c r="C180" s="12">
        <v>478.2</v>
      </c>
      <c r="D180" s="12">
        <v>3.03</v>
      </c>
      <c r="E180" s="12">
        <v>0.63</v>
      </c>
      <c r="F180" s="12">
        <v>50.0</v>
      </c>
      <c r="G180" s="13">
        <v>44462.611777928236</v>
      </c>
      <c r="H180" s="14">
        <f>IFERROR(__xludf.DUMMYFUNCTION("SPLIT(G180, "", "")"),44462.0)</f>
        <v>44462</v>
      </c>
      <c r="I180" s="15">
        <f>IFERROR(__xludf.DUMMYFUNCTION("""COMPUTED_VALUE"""),0.6117824074074074)</f>
        <v>0.6117824074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12">
        <v>3.37</v>
      </c>
      <c r="B181" s="12">
        <v>225.8</v>
      </c>
      <c r="C181" s="12">
        <v>478.2</v>
      </c>
      <c r="D181" s="12">
        <v>3.03</v>
      </c>
      <c r="E181" s="12">
        <v>0.63</v>
      </c>
      <c r="F181" s="12">
        <v>50.0</v>
      </c>
      <c r="G181" s="13">
        <v>44462.61188038194</v>
      </c>
      <c r="H181" s="14">
        <f>IFERROR(__xludf.DUMMYFUNCTION("SPLIT(G181, "", "")"),44462.0)</f>
        <v>44462</v>
      </c>
      <c r="I181" s="15">
        <f>IFERROR(__xludf.DUMMYFUNCTION("""COMPUTED_VALUE"""),0.611875)</f>
        <v>0.611875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12">
        <v>3.37</v>
      </c>
      <c r="B182" s="12">
        <v>225.9</v>
      </c>
      <c r="C182" s="12">
        <v>478.5</v>
      </c>
      <c r="D182" s="12">
        <v>3.03</v>
      </c>
      <c r="E182" s="12">
        <v>0.63</v>
      </c>
      <c r="F182" s="12">
        <v>50.0</v>
      </c>
      <c r="G182" s="13">
        <v>44462.61197666667</v>
      </c>
      <c r="H182" s="14">
        <f>IFERROR(__xludf.DUMMYFUNCTION("SPLIT(G182, "", "")"),44462.0)</f>
        <v>44462</v>
      </c>
      <c r="I182" s="15">
        <f>IFERROR(__xludf.DUMMYFUNCTION("""COMPUTED_VALUE"""),0.6119791666666666)</f>
        <v>0.6119791667</v>
      </c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12">
        <v>3.35</v>
      </c>
      <c r="B183" s="12">
        <v>226.3</v>
      </c>
      <c r="C183" s="12">
        <v>478.5</v>
      </c>
      <c r="D183" s="12">
        <v>3.03</v>
      </c>
      <c r="E183" s="12">
        <v>0.63</v>
      </c>
      <c r="F183" s="12">
        <v>50.0</v>
      </c>
      <c r="G183" s="13">
        <v>44462.61207940972</v>
      </c>
      <c r="H183" s="14">
        <f>IFERROR(__xludf.DUMMYFUNCTION("SPLIT(G183, "", "")"),44462.0)</f>
        <v>44462</v>
      </c>
      <c r="I183" s="15">
        <f>IFERROR(__xludf.DUMMYFUNCTION("""COMPUTED_VALUE"""),0.6120833333333333)</f>
        <v>0.6120833333</v>
      </c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12">
        <v>3.35</v>
      </c>
      <c r="B184" s="12">
        <v>226.5</v>
      </c>
      <c r="C184" s="12">
        <v>478.6</v>
      </c>
      <c r="D184" s="12">
        <v>3.04</v>
      </c>
      <c r="E184" s="12">
        <v>0.63</v>
      </c>
      <c r="F184" s="12">
        <v>50.0</v>
      </c>
      <c r="G184" s="13">
        <v>44462.6121778588</v>
      </c>
      <c r="H184" s="14">
        <f>IFERROR(__xludf.DUMMYFUNCTION("SPLIT(G184, "", "")"),44462.0)</f>
        <v>44462</v>
      </c>
      <c r="I184" s="15">
        <f>IFERROR(__xludf.DUMMYFUNCTION("""COMPUTED_VALUE"""),0.612175925925926)</f>
        <v>0.6121759259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12">
        <v>3.33</v>
      </c>
      <c r="B185" s="12">
        <v>226.6</v>
      </c>
      <c r="C185" s="12">
        <v>478.5</v>
      </c>
      <c r="D185" s="12">
        <v>3.04</v>
      </c>
      <c r="E185" s="12">
        <v>0.63</v>
      </c>
      <c r="F185" s="12">
        <v>50.0</v>
      </c>
      <c r="G185" s="13">
        <v>44462.61227305555</v>
      </c>
      <c r="H185" s="14">
        <f>IFERROR(__xludf.DUMMYFUNCTION("SPLIT(G185, "", "")"),44462.0)</f>
        <v>44462</v>
      </c>
      <c r="I185" s="15">
        <f>IFERROR(__xludf.DUMMYFUNCTION("""COMPUTED_VALUE"""),0.6122685185185185)</f>
        <v>0.6122685185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12">
        <v>3.34</v>
      </c>
      <c r="B186" s="12">
        <v>226.5</v>
      </c>
      <c r="C186" s="12">
        <v>478.7</v>
      </c>
      <c r="D186" s="12">
        <v>3.04</v>
      </c>
      <c r="E186" s="12">
        <v>0.63</v>
      </c>
      <c r="F186" s="12">
        <v>50.0</v>
      </c>
      <c r="G186" s="13">
        <v>44462.612370497685</v>
      </c>
      <c r="H186" s="14">
        <f>IFERROR(__xludf.DUMMYFUNCTION("SPLIT(G186, "", "")"),44462.0)</f>
        <v>44462</v>
      </c>
      <c r="I186" s="15">
        <f>IFERROR(__xludf.DUMMYFUNCTION("""COMPUTED_VALUE"""),0.6123726851851852)</f>
        <v>0.6123726852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12">
        <v>3.34</v>
      </c>
      <c r="B187" s="12">
        <v>226.5</v>
      </c>
      <c r="C187" s="12">
        <v>478.7</v>
      </c>
      <c r="D187" s="12">
        <v>3.04</v>
      </c>
      <c r="E187" s="12">
        <v>0.63</v>
      </c>
      <c r="F187" s="12">
        <v>50.0</v>
      </c>
      <c r="G187" s="13">
        <v>44462.612469907406</v>
      </c>
      <c r="H187" s="14">
        <f>IFERROR(__xludf.DUMMYFUNCTION("SPLIT(G187, "", "")"),44462.0)</f>
        <v>44462</v>
      </c>
      <c r="I187" s="15">
        <f>IFERROR(__xludf.DUMMYFUNCTION("""COMPUTED_VALUE"""),0.6124652777777778)</f>
        <v>0.6124652778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12">
        <v>3.34</v>
      </c>
      <c r="B188" s="12">
        <v>226.5</v>
      </c>
      <c r="C188" s="12">
        <v>479.0</v>
      </c>
      <c r="D188" s="12">
        <v>3.04</v>
      </c>
      <c r="E188" s="12">
        <v>0.63</v>
      </c>
      <c r="F188" s="12">
        <v>50.0</v>
      </c>
      <c r="G188" s="13">
        <v>44462.6125665162</v>
      </c>
      <c r="H188" s="14">
        <f>IFERROR(__xludf.DUMMYFUNCTION("SPLIT(G188, "", "")"),44462.0)</f>
        <v>44462</v>
      </c>
      <c r="I188" s="15">
        <f>IFERROR(__xludf.DUMMYFUNCTION("""COMPUTED_VALUE"""),0.6125694444444445)</f>
        <v>0.6125694444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12">
        <v>3.35</v>
      </c>
      <c r="B189" s="12">
        <v>226.4</v>
      </c>
      <c r="C189" s="12">
        <v>478.9</v>
      </c>
      <c r="D189" s="12">
        <v>3.04</v>
      </c>
      <c r="E189" s="12">
        <v>0.63</v>
      </c>
      <c r="F189" s="12">
        <v>49.9</v>
      </c>
      <c r="G189" s="13">
        <v>44462.61266745371</v>
      </c>
      <c r="H189" s="14">
        <f>IFERROR(__xludf.DUMMYFUNCTION("SPLIT(G189, "", "")"),44462.0)</f>
        <v>44462</v>
      </c>
      <c r="I189" s="15">
        <f>IFERROR(__xludf.DUMMYFUNCTION("""COMPUTED_VALUE"""),0.612662037037037)</f>
        <v>0.612662037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12">
        <v>3.35</v>
      </c>
      <c r="B190" s="12">
        <v>226.4</v>
      </c>
      <c r="C190" s="12">
        <v>479.1</v>
      </c>
      <c r="D190" s="12">
        <v>3.04</v>
      </c>
      <c r="E190" s="12">
        <v>0.63</v>
      </c>
      <c r="F190" s="12">
        <v>49.9</v>
      </c>
      <c r="G190" s="13">
        <v>44462.61277306713</v>
      </c>
      <c r="H190" s="14">
        <f>IFERROR(__xludf.DUMMYFUNCTION("SPLIT(G190, "", "")"),44462.0)</f>
        <v>44462</v>
      </c>
      <c r="I190" s="15">
        <f>IFERROR(__xludf.DUMMYFUNCTION("""COMPUTED_VALUE"""),0.6127777777777778)</f>
        <v>0.6127777778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12">
        <v>3.35</v>
      </c>
      <c r="B191" s="12">
        <v>226.4</v>
      </c>
      <c r="C191" s="12">
        <v>479.2</v>
      </c>
      <c r="D191" s="12">
        <v>3.04</v>
      </c>
      <c r="E191" s="12">
        <v>0.63</v>
      </c>
      <c r="F191" s="12">
        <v>49.9</v>
      </c>
      <c r="G191" s="13">
        <v>44462.61287331019</v>
      </c>
      <c r="H191" s="14">
        <f>IFERROR(__xludf.DUMMYFUNCTION("SPLIT(G191, "", "")"),44462.0)</f>
        <v>44462</v>
      </c>
      <c r="I191" s="15">
        <f>IFERROR(__xludf.DUMMYFUNCTION("""COMPUTED_VALUE"""),0.6128703703703704)</f>
        <v>0.6128703704</v>
      </c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12">
        <v>3.35</v>
      </c>
      <c r="B192" s="12">
        <v>226.5</v>
      </c>
      <c r="C192" s="12">
        <v>479.2</v>
      </c>
      <c r="D192" s="12">
        <v>3.05</v>
      </c>
      <c r="E192" s="12">
        <v>0.63</v>
      </c>
      <c r="F192" s="12">
        <v>49.9</v>
      </c>
      <c r="G192" s="13">
        <v>44462.612973310184</v>
      </c>
      <c r="H192" s="14">
        <f>IFERROR(__xludf.DUMMYFUNCTION("SPLIT(G192, "", "")"),44462.0)</f>
        <v>44462</v>
      </c>
      <c r="I192" s="15">
        <f>IFERROR(__xludf.DUMMYFUNCTION("""COMPUTED_VALUE"""),0.6129745370370371)</f>
        <v>0.612974537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12">
        <v>3.36</v>
      </c>
      <c r="B193" s="12">
        <v>226.7</v>
      </c>
      <c r="C193" s="12">
        <v>479.4</v>
      </c>
      <c r="D193" s="12">
        <v>3.05</v>
      </c>
      <c r="E193" s="12">
        <v>0.63</v>
      </c>
      <c r="F193" s="12">
        <v>49.9</v>
      </c>
      <c r="G193" s="13">
        <v>44462.613078263894</v>
      </c>
      <c r="H193" s="14">
        <f>IFERROR(__xludf.DUMMYFUNCTION("SPLIT(G193, "", "")"),44462.0)</f>
        <v>44462</v>
      </c>
      <c r="I193" s="15">
        <f>IFERROR(__xludf.DUMMYFUNCTION("""COMPUTED_VALUE"""),0.6130787037037037)</f>
        <v>0.6130787037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12">
        <v>3.36</v>
      </c>
      <c r="B194" s="12">
        <v>226.5</v>
      </c>
      <c r="C194" s="12">
        <v>479.5</v>
      </c>
      <c r="D194" s="12">
        <v>3.05</v>
      </c>
      <c r="E194" s="12">
        <v>0.63</v>
      </c>
      <c r="F194" s="12">
        <v>50.0</v>
      </c>
      <c r="G194" s="13">
        <v>44462.61318170139</v>
      </c>
      <c r="H194" s="14">
        <f>IFERROR(__xludf.DUMMYFUNCTION("SPLIT(G194, "", "")"),44462.0)</f>
        <v>44462</v>
      </c>
      <c r="I194" s="15">
        <f>IFERROR(__xludf.DUMMYFUNCTION("""COMPUTED_VALUE"""),0.6131828703703703)</f>
        <v>0.6131828704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12">
        <v>3.35</v>
      </c>
      <c r="B195" s="12">
        <v>226.5</v>
      </c>
      <c r="C195" s="12">
        <v>479.5</v>
      </c>
      <c r="D195" s="12">
        <v>3.05</v>
      </c>
      <c r="E195" s="12">
        <v>0.63</v>
      </c>
      <c r="F195" s="12">
        <v>50.0</v>
      </c>
      <c r="G195" s="13">
        <v>44462.61327864583</v>
      </c>
      <c r="H195" s="14">
        <f>IFERROR(__xludf.DUMMYFUNCTION("SPLIT(G195, "", "")"),44462.0)</f>
        <v>44462</v>
      </c>
      <c r="I195" s="15">
        <f>IFERROR(__xludf.DUMMYFUNCTION("""COMPUTED_VALUE"""),0.613275462962963)</f>
        <v>0.613275463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12">
        <v>3.36</v>
      </c>
      <c r="B196" s="12">
        <v>226.3</v>
      </c>
      <c r="C196" s="12">
        <v>479.7</v>
      </c>
      <c r="D196" s="12">
        <v>3.05</v>
      </c>
      <c r="E196" s="12">
        <v>0.63</v>
      </c>
      <c r="F196" s="12">
        <v>50.0</v>
      </c>
      <c r="G196" s="13">
        <v>44462.61337518519</v>
      </c>
      <c r="H196" s="14">
        <f>IFERROR(__xludf.DUMMYFUNCTION("SPLIT(G196, "", "")"),44462.0)</f>
        <v>44462</v>
      </c>
      <c r="I196" s="15">
        <f>IFERROR(__xludf.DUMMYFUNCTION("""COMPUTED_VALUE"""),0.6133796296296297)</f>
        <v>0.6133796296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12">
        <v>3.36</v>
      </c>
      <c r="B197" s="12">
        <v>226.3</v>
      </c>
      <c r="C197" s="12">
        <v>479.7</v>
      </c>
      <c r="D197" s="12">
        <v>3.05</v>
      </c>
      <c r="E197" s="12">
        <v>0.63</v>
      </c>
      <c r="F197" s="12">
        <v>50.0</v>
      </c>
      <c r="G197" s="13">
        <v>44462.61347481482</v>
      </c>
      <c r="H197" s="14">
        <f>IFERROR(__xludf.DUMMYFUNCTION("SPLIT(G197, "", "")"),44462.0)</f>
        <v>44462</v>
      </c>
      <c r="I197" s="15">
        <f>IFERROR(__xludf.DUMMYFUNCTION("""COMPUTED_VALUE"""),0.6134722222222222)</f>
        <v>0.6134722222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12">
        <v>3.37</v>
      </c>
      <c r="B198" s="12">
        <v>226.2</v>
      </c>
      <c r="C198" s="12">
        <v>479.8</v>
      </c>
      <c r="D198" s="12">
        <v>3.05</v>
      </c>
      <c r="E198" s="12">
        <v>0.63</v>
      </c>
      <c r="F198" s="12">
        <v>50.0</v>
      </c>
      <c r="G198" s="13">
        <v>44462.61357701389</v>
      </c>
      <c r="H198" s="14">
        <f>IFERROR(__xludf.DUMMYFUNCTION("SPLIT(G198, "", "")"),44462.0)</f>
        <v>44462</v>
      </c>
      <c r="I198" s="15">
        <f>IFERROR(__xludf.DUMMYFUNCTION("""COMPUTED_VALUE"""),0.6135763888888889)</f>
        <v>0.6135763889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12">
        <v>3.36</v>
      </c>
      <c r="B199" s="12">
        <v>226.3</v>
      </c>
      <c r="C199" s="12">
        <v>479.9</v>
      </c>
      <c r="D199" s="12">
        <v>3.05</v>
      </c>
      <c r="E199" s="12">
        <v>0.63</v>
      </c>
      <c r="F199" s="12">
        <v>50.0</v>
      </c>
      <c r="G199" s="13">
        <v>44462.613679050926</v>
      </c>
      <c r="H199" s="14">
        <f>IFERROR(__xludf.DUMMYFUNCTION("SPLIT(G199, "", "")"),44462.0)</f>
        <v>44462</v>
      </c>
      <c r="I199" s="15">
        <f>IFERROR(__xludf.DUMMYFUNCTION("""COMPUTED_VALUE"""),0.6136805555555556)</f>
        <v>0.6136805556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12">
        <v>3.36</v>
      </c>
      <c r="B200" s="12">
        <v>226.3</v>
      </c>
      <c r="C200" s="12">
        <v>480.0</v>
      </c>
      <c r="D200" s="12">
        <v>3.05</v>
      </c>
      <c r="E200" s="12">
        <v>0.63</v>
      </c>
      <c r="F200" s="12">
        <v>50.0</v>
      </c>
      <c r="G200" s="13">
        <v>44462.61378478009</v>
      </c>
      <c r="H200" s="14">
        <f>IFERROR(__xludf.DUMMYFUNCTION("SPLIT(G200, "", "")"),44462.0)</f>
        <v>44462</v>
      </c>
      <c r="I200" s="15">
        <f>IFERROR(__xludf.DUMMYFUNCTION("""COMPUTED_VALUE"""),0.6137847222222222)</f>
        <v>0.6137847222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12">
        <v>3.37</v>
      </c>
      <c r="B201" s="12">
        <v>226.4</v>
      </c>
      <c r="C201" s="12">
        <v>480.2</v>
      </c>
      <c r="D201" s="12">
        <v>3.06</v>
      </c>
      <c r="E201" s="12">
        <v>0.63</v>
      </c>
      <c r="F201" s="12">
        <v>50.0</v>
      </c>
      <c r="G201" s="13">
        <v>44462.6138893287</v>
      </c>
      <c r="H201" s="14">
        <f>IFERROR(__xludf.DUMMYFUNCTION("SPLIT(G201, "", "")"),44462.0)</f>
        <v>44462</v>
      </c>
      <c r="I201" s="15">
        <f>IFERROR(__xludf.DUMMYFUNCTION("""COMPUTED_VALUE"""),0.6138888888888889)</f>
        <v>0.6138888889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12">
        <v>3.37</v>
      </c>
      <c r="B202" s="12">
        <v>226.2</v>
      </c>
      <c r="C202" s="12">
        <v>480.2</v>
      </c>
      <c r="D202" s="12">
        <v>3.06</v>
      </c>
      <c r="E202" s="12">
        <v>0.63</v>
      </c>
      <c r="F202" s="12">
        <v>49.9</v>
      </c>
      <c r="G202" s="13">
        <v>44462.613991122686</v>
      </c>
      <c r="H202" s="14">
        <f>IFERROR(__xludf.DUMMYFUNCTION("SPLIT(G202, "", "")"),44462.0)</f>
        <v>44462</v>
      </c>
      <c r="I202" s="15">
        <f>IFERROR(__xludf.DUMMYFUNCTION("""COMPUTED_VALUE"""),0.6139930555555555)</f>
        <v>0.6139930556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12">
        <v>3.36</v>
      </c>
      <c r="B203" s="12">
        <v>226.4</v>
      </c>
      <c r="C203" s="12">
        <v>480.3</v>
      </c>
      <c r="D203" s="12">
        <v>3.06</v>
      </c>
      <c r="E203" s="12">
        <v>0.63</v>
      </c>
      <c r="F203" s="12">
        <v>50.0</v>
      </c>
      <c r="G203" s="13">
        <v>44462.61408940972</v>
      </c>
      <c r="H203" s="14">
        <f>IFERROR(__xludf.DUMMYFUNCTION("SPLIT(G203, "", "")"),44462.0)</f>
        <v>44462</v>
      </c>
      <c r="I203" s="15">
        <f>IFERROR(__xludf.DUMMYFUNCTION("""COMPUTED_VALUE"""),0.6140856481481481)</f>
        <v>0.6140856481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12">
        <v>3.36</v>
      </c>
      <c r="B204" s="12">
        <v>226.4</v>
      </c>
      <c r="C204" s="12">
        <v>480.3</v>
      </c>
      <c r="D204" s="12">
        <v>3.06</v>
      </c>
      <c r="E204" s="12">
        <v>0.63</v>
      </c>
      <c r="F204" s="12">
        <v>49.9</v>
      </c>
      <c r="G204" s="13">
        <v>44462.614190416665</v>
      </c>
      <c r="H204" s="14">
        <f>IFERROR(__xludf.DUMMYFUNCTION("SPLIT(G204, "", "")"),44462.0)</f>
        <v>44462</v>
      </c>
      <c r="I204" s="15">
        <f>IFERROR(__xludf.DUMMYFUNCTION("""COMPUTED_VALUE"""),0.6141898148148148)</f>
        <v>0.6141898148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12">
        <v>3.37</v>
      </c>
      <c r="B205" s="12">
        <v>226.4</v>
      </c>
      <c r="C205" s="12">
        <v>480.4</v>
      </c>
      <c r="D205" s="12">
        <v>3.06</v>
      </c>
      <c r="E205" s="12">
        <v>0.63</v>
      </c>
      <c r="F205" s="12">
        <v>49.9</v>
      </c>
      <c r="G205" s="13">
        <v>44462.61429403935</v>
      </c>
      <c r="H205" s="14">
        <f>IFERROR(__xludf.DUMMYFUNCTION("SPLIT(G205, "", "")"),44462.0)</f>
        <v>44462</v>
      </c>
      <c r="I205" s="15">
        <f>IFERROR(__xludf.DUMMYFUNCTION("""COMPUTED_VALUE"""),0.6142939814814815)</f>
        <v>0.6142939815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12">
        <v>3.37</v>
      </c>
      <c r="B206" s="12">
        <v>226.5</v>
      </c>
      <c r="C206" s="12">
        <v>480.5</v>
      </c>
      <c r="D206" s="12">
        <v>3.06</v>
      </c>
      <c r="E206" s="12">
        <v>0.63</v>
      </c>
      <c r="F206" s="12">
        <v>49.9</v>
      </c>
      <c r="G206" s="13">
        <v>44462.61439674768</v>
      </c>
      <c r="H206" s="14">
        <f>IFERROR(__xludf.DUMMYFUNCTION("SPLIT(G206, "", "")"),44462.0)</f>
        <v>44462</v>
      </c>
      <c r="I206" s="15">
        <f>IFERROR(__xludf.DUMMYFUNCTION("""COMPUTED_VALUE"""),0.6143981481481482)</f>
        <v>0.6143981481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12">
        <v>3.36</v>
      </c>
      <c r="B207" s="12">
        <v>226.4</v>
      </c>
      <c r="C207" s="12">
        <v>480.6</v>
      </c>
      <c r="D207" s="12">
        <v>3.06</v>
      </c>
      <c r="E207" s="12">
        <v>0.63</v>
      </c>
      <c r="F207" s="12">
        <v>50.0</v>
      </c>
      <c r="G207" s="13">
        <v>44462.61449334491</v>
      </c>
      <c r="H207" s="14">
        <f>IFERROR(__xludf.DUMMYFUNCTION("SPLIT(G207, "", "")"),44462.0)</f>
        <v>44462</v>
      </c>
      <c r="I207" s="15">
        <f>IFERROR(__xludf.DUMMYFUNCTION("""COMPUTED_VALUE"""),0.6144907407407407)</f>
        <v>0.6144907407</v>
      </c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12">
        <v>3.36</v>
      </c>
      <c r="B208" s="12">
        <v>226.4</v>
      </c>
      <c r="C208" s="12">
        <v>480.7</v>
      </c>
      <c r="D208" s="12">
        <v>3.06</v>
      </c>
      <c r="E208" s="12">
        <v>0.63</v>
      </c>
      <c r="F208" s="12">
        <v>49.9</v>
      </c>
      <c r="G208" s="13">
        <v>44462.6145897338</v>
      </c>
      <c r="H208" s="14">
        <f>IFERROR(__xludf.DUMMYFUNCTION("SPLIT(G208, "", "")"),44462.0)</f>
        <v>44462</v>
      </c>
      <c r="I208" s="15">
        <f>IFERROR(__xludf.DUMMYFUNCTION("""COMPUTED_VALUE"""),0.6145949074074074)</f>
        <v>0.6145949074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12">
        <v>3.36</v>
      </c>
      <c r="B209" s="12">
        <v>226.3</v>
      </c>
      <c r="C209" s="12">
        <v>480.8</v>
      </c>
      <c r="D209" s="12">
        <v>3.06</v>
      </c>
      <c r="E209" s="12">
        <v>0.63</v>
      </c>
      <c r="F209" s="12">
        <v>50.0</v>
      </c>
      <c r="G209" s="13">
        <v>44462.61469027778</v>
      </c>
      <c r="H209" s="14">
        <f>IFERROR(__xludf.DUMMYFUNCTION("SPLIT(G209, "", "")"),44462.0)</f>
        <v>44462</v>
      </c>
      <c r="I209" s="15">
        <f>IFERROR(__xludf.DUMMYFUNCTION("""COMPUTED_VALUE"""),0.6146875)</f>
        <v>0.6146875</v>
      </c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12">
        <v>3.36</v>
      </c>
      <c r="B210" s="12">
        <v>226.5</v>
      </c>
      <c r="C210" s="12">
        <v>480.9</v>
      </c>
      <c r="D210" s="12">
        <v>3.07</v>
      </c>
      <c r="E210" s="12">
        <v>0.63</v>
      </c>
      <c r="F210" s="12">
        <v>50.0</v>
      </c>
      <c r="G210" s="13">
        <v>44462.61479694444</v>
      </c>
      <c r="H210" s="14">
        <f>IFERROR(__xludf.DUMMYFUNCTION("SPLIT(G210, "", "")"),44462.0)</f>
        <v>44462</v>
      </c>
      <c r="I210" s="15">
        <f>IFERROR(__xludf.DUMMYFUNCTION("""COMPUTED_VALUE"""),0.6147916666666666)</f>
        <v>0.6147916667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12">
        <v>3.37</v>
      </c>
      <c r="B211" s="12">
        <v>226.4</v>
      </c>
      <c r="C211" s="12">
        <v>481.1</v>
      </c>
      <c r="D211" s="12">
        <v>3.07</v>
      </c>
      <c r="E211" s="12">
        <v>0.63</v>
      </c>
      <c r="F211" s="12">
        <v>50.0</v>
      </c>
      <c r="G211" s="13">
        <v>44462.6148999537</v>
      </c>
      <c r="H211" s="14">
        <f>IFERROR(__xludf.DUMMYFUNCTION("SPLIT(G211, "", "")"),44462.0)</f>
        <v>44462</v>
      </c>
      <c r="I211" s="15">
        <f>IFERROR(__xludf.DUMMYFUNCTION("""COMPUTED_VALUE"""),0.6148958333333333)</f>
        <v>0.6148958333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12">
        <v>3.37</v>
      </c>
      <c r="B212" s="12">
        <v>226.5</v>
      </c>
      <c r="C212" s="12">
        <v>481.1</v>
      </c>
      <c r="D212" s="12">
        <v>3.07</v>
      </c>
      <c r="E212" s="12">
        <v>0.63</v>
      </c>
      <c r="F212" s="12">
        <v>50.0</v>
      </c>
      <c r="G212" s="13">
        <v>44462.615000509264</v>
      </c>
      <c r="H212" s="14">
        <f>IFERROR(__xludf.DUMMYFUNCTION("SPLIT(G212, "", "")"),44462.0)</f>
        <v>44462</v>
      </c>
      <c r="I212" s="15">
        <f>IFERROR(__xludf.DUMMYFUNCTION("""COMPUTED_VALUE"""),0.615)</f>
        <v>0.615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12">
        <v>3.38</v>
      </c>
      <c r="B213" s="12">
        <v>226.5</v>
      </c>
      <c r="C213" s="12">
        <v>481.3</v>
      </c>
      <c r="D213" s="12">
        <v>3.07</v>
      </c>
      <c r="E213" s="12">
        <v>0.63</v>
      </c>
      <c r="F213" s="12">
        <v>50.0</v>
      </c>
      <c r="G213" s="13">
        <v>44462.615101724536</v>
      </c>
      <c r="H213" s="14">
        <f>IFERROR(__xludf.DUMMYFUNCTION("SPLIT(G213, "", "")"),44462.0)</f>
        <v>44462</v>
      </c>
      <c r="I213" s="15">
        <f>IFERROR(__xludf.DUMMYFUNCTION("""COMPUTED_VALUE"""),0.6151041666666667)</f>
        <v>0.6151041667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12">
        <v>3.36</v>
      </c>
      <c r="B214" s="12">
        <v>226.5</v>
      </c>
      <c r="C214" s="12">
        <v>481.2</v>
      </c>
      <c r="D214" s="12">
        <v>3.07</v>
      </c>
      <c r="E214" s="12">
        <v>0.63</v>
      </c>
      <c r="F214" s="12">
        <v>50.0</v>
      </c>
      <c r="G214" s="13">
        <v>44462.61520560185</v>
      </c>
      <c r="H214" s="14">
        <f>IFERROR(__xludf.DUMMYFUNCTION("SPLIT(G214, "", "")"),44462.0)</f>
        <v>44462</v>
      </c>
      <c r="I214" s="15">
        <f>IFERROR(__xludf.DUMMYFUNCTION("""COMPUTED_VALUE"""),0.6152083333333334)</f>
        <v>0.6152083333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12">
        <v>3.36</v>
      </c>
      <c r="B215" s="12">
        <v>226.5</v>
      </c>
      <c r="C215" s="12">
        <v>481.3</v>
      </c>
      <c r="D215" s="12">
        <v>3.07</v>
      </c>
      <c r="E215" s="12">
        <v>0.63</v>
      </c>
      <c r="F215" s="12">
        <v>50.0</v>
      </c>
      <c r="G215" s="13">
        <v>44462.61530450232</v>
      </c>
      <c r="H215" s="14">
        <f>IFERROR(__xludf.DUMMYFUNCTION("SPLIT(G215, "", "")"),44462.0)</f>
        <v>44462</v>
      </c>
      <c r="I215" s="15">
        <f>IFERROR(__xludf.DUMMYFUNCTION("""COMPUTED_VALUE"""),0.6153009259259259)</f>
        <v>0.6153009259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12">
        <v>3.38</v>
      </c>
      <c r="B216" s="12">
        <v>226.5</v>
      </c>
      <c r="C216" s="12">
        <v>481.5</v>
      </c>
      <c r="D216" s="12">
        <v>3.07</v>
      </c>
      <c r="E216" s="12">
        <v>0.63</v>
      </c>
      <c r="F216" s="12">
        <v>50.0</v>
      </c>
      <c r="G216" s="13">
        <v>44462.615403379634</v>
      </c>
      <c r="H216" s="14">
        <f>IFERROR(__xludf.DUMMYFUNCTION("SPLIT(G216, "", "")"),44462.0)</f>
        <v>44462</v>
      </c>
      <c r="I216" s="15">
        <f>IFERROR(__xludf.DUMMYFUNCTION("""COMPUTED_VALUE"""),0.6154050925925926)</f>
        <v>0.6154050926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12">
        <v>3.37</v>
      </c>
      <c r="B217" s="12">
        <v>226.5</v>
      </c>
      <c r="C217" s="12">
        <v>481.6</v>
      </c>
      <c r="D217" s="12">
        <v>3.07</v>
      </c>
      <c r="E217" s="12">
        <v>0.63</v>
      </c>
      <c r="F217" s="12">
        <v>50.0</v>
      </c>
      <c r="G217" s="13">
        <v>44462.61550497686</v>
      </c>
      <c r="H217" s="14">
        <f>IFERROR(__xludf.DUMMYFUNCTION("SPLIT(G217, "", "")"),44462.0)</f>
        <v>44462</v>
      </c>
      <c r="I217" s="15">
        <f>IFERROR(__xludf.DUMMYFUNCTION("""COMPUTED_VALUE"""),0.6155092592592593)</f>
        <v>0.6155092593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12">
        <v>3.37</v>
      </c>
      <c r="B218" s="12">
        <v>226.5</v>
      </c>
      <c r="C218" s="12">
        <v>481.6</v>
      </c>
      <c r="D218" s="12">
        <v>3.08</v>
      </c>
      <c r="E218" s="12">
        <v>0.63</v>
      </c>
      <c r="F218" s="12">
        <v>50.0</v>
      </c>
      <c r="G218" s="13">
        <v>44462.615602060185</v>
      </c>
      <c r="H218" s="14">
        <f>IFERROR(__xludf.DUMMYFUNCTION("SPLIT(G218, "", "")"),44462.0)</f>
        <v>44462</v>
      </c>
      <c r="I218" s="15">
        <f>IFERROR(__xludf.DUMMYFUNCTION("""COMPUTED_VALUE"""),0.6156018518518519)</f>
        <v>0.6156018519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12">
        <v>3.37</v>
      </c>
      <c r="B219" s="12">
        <v>226.3</v>
      </c>
      <c r="C219" s="12">
        <v>481.6</v>
      </c>
      <c r="D219" s="12">
        <v>3.08</v>
      </c>
      <c r="E219" s="12">
        <v>0.63</v>
      </c>
      <c r="F219" s="12">
        <v>50.0</v>
      </c>
      <c r="G219" s="13">
        <v>44462.61570657407</v>
      </c>
      <c r="H219" s="14">
        <f>IFERROR(__xludf.DUMMYFUNCTION("SPLIT(G219, "", "")"),44462.0)</f>
        <v>44462</v>
      </c>
      <c r="I219" s="15">
        <f>IFERROR(__xludf.DUMMYFUNCTION("""COMPUTED_VALUE"""),0.6157060185185185)</f>
        <v>0.6157060185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12">
        <v>3.37</v>
      </c>
      <c r="B220" s="12">
        <v>226.3</v>
      </c>
      <c r="C220" s="12">
        <v>481.7</v>
      </c>
      <c r="D220" s="12">
        <v>3.08</v>
      </c>
      <c r="E220" s="12">
        <v>0.63</v>
      </c>
      <c r="F220" s="12">
        <v>50.0</v>
      </c>
      <c r="G220" s="13">
        <v>44462.615809930554</v>
      </c>
      <c r="H220" s="14">
        <f>IFERROR(__xludf.DUMMYFUNCTION("SPLIT(G220, "", "")"),44462.0)</f>
        <v>44462</v>
      </c>
      <c r="I220" s="15">
        <f>IFERROR(__xludf.DUMMYFUNCTION("""COMPUTED_VALUE"""),0.6158101851851852)</f>
        <v>0.6158101852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12">
        <v>3.37</v>
      </c>
      <c r="B221" s="12">
        <v>226.3</v>
      </c>
      <c r="C221" s="12">
        <v>481.7</v>
      </c>
      <c r="D221" s="12">
        <v>3.08</v>
      </c>
      <c r="E221" s="12">
        <v>0.63</v>
      </c>
      <c r="F221" s="12">
        <v>49.9</v>
      </c>
      <c r="G221" s="13">
        <v>44462.61591030093</v>
      </c>
      <c r="H221" s="14">
        <f>IFERROR(__xludf.DUMMYFUNCTION("SPLIT(G221, "", "")"),44462.0)</f>
        <v>44462</v>
      </c>
      <c r="I221" s="15">
        <f>IFERROR(__xludf.DUMMYFUNCTION("""COMPUTED_VALUE"""),0.6159143518518518)</f>
        <v>0.6159143519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12">
        <v>3.39</v>
      </c>
      <c r="B222" s="12">
        <v>226.0</v>
      </c>
      <c r="C222" s="12">
        <v>481.9</v>
      </c>
      <c r="D222" s="12">
        <v>3.08</v>
      </c>
      <c r="E222" s="12">
        <v>0.63</v>
      </c>
      <c r="F222" s="12">
        <v>49.9</v>
      </c>
      <c r="G222" s="13">
        <v>44462.616013113424</v>
      </c>
      <c r="H222" s="14">
        <f>IFERROR(__xludf.DUMMYFUNCTION("SPLIT(G222, "", "")"),44462.0)</f>
        <v>44462</v>
      </c>
      <c r="I222" s="15">
        <f>IFERROR(__xludf.DUMMYFUNCTION("""COMPUTED_VALUE"""),0.6160185185185185)</f>
        <v>0.6160185185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12">
        <v>3.39</v>
      </c>
      <c r="B223" s="12">
        <v>225.9</v>
      </c>
      <c r="C223" s="12">
        <v>481.9</v>
      </c>
      <c r="D223" s="12">
        <v>3.08</v>
      </c>
      <c r="E223" s="12">
        <v>0.63</v>
      </c>
      <c r="F223" s="12">
        <v>49.9</v>
      </c>
      <c r="G223" s="13">
        <v>44462.61611596065</v>
      </c>
      <c r="H223" s="14">
        <f>IFERROR(__xludf.DUMMYFUNCTION("SPLIT(G223, "", "")"),44462.0)</f>
        <v>44462</v>
      </c>
      <c r="I223" s="15">
        <f>IFERROR(__xludf.DUMMYFUNCTION("""COMPUTED_VALUE"""),0.6161111111111112)</f>
        <v>0.6161111111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12">
        <v>3.39</v>
      </c>
      <c r="B224" s="12">
        <v>225.9</v>
      </c>
      <c r="C224" s="12">
        <v>482.0</v>
      </c>
      <c r="D224" s="12">
        <v>3.08</v>
      </c>
      <c r="E224" s="12">
        <v>0.63</v>
      </c>
      <c r="F224" s="12">
        <v>49.9</v>
      </c>
      <c r="G224" s="13">
        <v>44462.61621741898</v>
      </c>
      <c r="H224" s="14">
        <f>IFERROR(__xludf.DUMMYFUNCTION("SPLIT(G224, "", "")"),44462.0)</f>
        <v>44462</v>
      </c>
      <c r="I224" s="15">
        <f>IFERROR(__xludf.DUMMYFUNCTION("""COMPUTED_VALUE"""),0.6162152777777777)</f>
        <v>0.6162152778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12">
        <v>3.39</v>
      </c>
      <c r="B225" s="12">
        <v>225.9</v>
      </c>
      <c r="C225" s="12">
        <v>482.0</v>
      </c>
      <c r="D225" s="12">
        <v>3.08</v>
      </c>
      <c r="E225" s="12">
        <v>0.63</v>
      </c>
      <c r="F225" s="12">
        <v>50.0</v>
      </c>
      <c r="G225" s="13">
        <v>44462.61631939815</v>
      </c>
      <c r="H225" s="14">
        <f>IFERROR(__xludf.DUMMYFUNCTION("SPLIT(G225, "", "")"),44462.0)</f>
        <v>44462</v>
      </c>
      <c r="I225" s="15">
        <f>IFERROR(__xludf.DUMMYFUNCTION("""COMPUTED_VALUE"""),0.6163194444444444)</f>
        <v>0.6163194444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12">
        <v>3.38</v>
      </c>
      <c r="B226" s="12">
        <v>226.1</v>
      </c>
      <c r="C226" s="12">
        <v>482.1</v>
      </c>
      <c r="D226" s="12">
        <v>3.08</v>
      </c>
      <c r="E226" s="12">
        <v>0.63</v>
      </c>
      <c r="F226" s="12">
        <v>49.9</v>
      </c>
      <c r="G226" s="13">
        <v>44462.6164186574</v>
      </c>
      <c r="H226" s="14">
        <f>IFERROR(__xludf.DUMMYFUNCTION("SPLIT(G226, "", "")"),44462.0)</f>
        <v>44462</v>
      </c>
      <c r="I226" s="15">
        <f>IFERROR(__xludf.DUMMYFUNCTION("""COMPUTED_VALUE"""),0.6164236111111111)</f>
        <v>0.6164236111</v>
      </c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12">
        <v>3.38</v>
      </c>
      <c r="B227" s="12">
        <v>226.2</v>
      </c>
      <c r="C227" s="12">
        <v>482.3</v>
      </c>
      <c r="D227" s="12">
        <v>3.09</v>
      </c>
      <c r="E227" s="12">
        <v>0.63</v>
      </c>
      <c r="F227" s="12">
        <v>50.0</v>
      </c>
      <c r="G227" s="13">
        <v>44462.61652563658</v>
      </c>
      <c r="H227" s="14">
        <f>IFERROR(__xludf.DUMMYFUNCTION("SPLIT(G227, "", "")"),44462.0)</f>
        <v>44462</v>
      </c>
      <c r="I227" s="15">
        <f>IFERROR(__xludf.DUMMYFUNCTION("""COMPUTED_VALUE"""),0.6165277777777778)</f>
        <v>0.6165277778</v>
      </c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12">
        <v>3.39</v>
      </c>
      <c r="B228" s="12">
        <v>226.2</v>
      </c>
      <c r="C228" s="12">
        <v>482.4</v>
      </c>
      <c r="D228" s="12">
        <v>3.09</v>
      </c>
      <c r="E228" s="12">
        <v>0.63</v>
      </c>
      <c r="F228" s="12">
        <v>50.0</v>
      </c>
      <c r="G228" s="13">
        <v>44462.6166296875</v>
      </c>
      <c r="H228" s="14">
        <f>IFERROR(__xludf.DUMMYFUNCTION("SPLIT(G228, "", "")"),44462.0)</f>
        <v>44462</v>
      </c>
      <c r="I228" s="15">
        <f>IFERROR(__xludf.DUMMYFUNCTION("""COMPUTED_VALUE"""),0.6166319444444445)</f>
        <v>0.6166319444</v>
      </c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12">
        <v>3.4</v>
      </c>
      <c r="B229" s="12">
        <v>226.3</v>
      </c>
      <c r="C229" s="12">
        <v>482.6</v>
      </c>
      <c r="D229" s="12">
        <v>3.09</v>
      </c>
      <c r="E229" s="12">
        <v>0.63</v>
      </c>
      <c r="F229" s="12">
        <v>50.0</v>
      </c>
      <c r="G229" s="13">
        <v>44462.61672986111</v>
      </c>
      <c r="H229" s="14">
        <f>IFERROR(__xludf.DUMMYFUNCTION("SPLIT(G229, "", "")"),44462.0)</f>
        <v>44462</v>
      </c>
      <c r="I229" s="15">
        <f>IFERROR(__xludf.DUMMYFUNCTION("""COMPUTED_VALUE"""),0.616724537037037)</f>
        <v>0.616724537</v>
      </c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12">
        <v>3.39</v>
      </c>
      <c r="B230" s="12">
        <v>226.3</v>
      </c>
      <c r="C230" s="12">
        <v>482.6</v>
      </c>
      <c r="D230" s="12">
        <v>3.09</v>
      </c>
      <c r="E230" s="12">
        <v>0.63</v>
      </c>
      <c r="F230" s="12">
        <v>50.0</v>
      </c>
      <c r="G230" s="13">
        <v>44462.61682862269</v>
      </c>
      <c r="H230" s="14">
        <f>IFERROR(__xludf.DUMMYFUNCTION("SPLIT(G230, "", "")"),44462.0)</f>
        <v>44462</v>
      </c>
      <c r="I230" s="15">
        <f>IFERROR(__xludf.DUMMYFUNCTION("""COMPUTED_VALUE"""),0.6168287037037037)</f>
        <v>0.6168287037</v>
      </c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12">
        <v>3.39</v>
      </c>
      <c r="B231" s="12">
        <v>226.3</v>
      </c>
      <c r="C231" s="12">
        <v>482.7</v>
      </c>
      <c r="D231" s="12">
        <v>3.09</v>
      </c>
      <c r="E231" s="12">
        <v>0.63</v>
      </c>
      <c r="F231" s="12">
        <v>50.0</v>
      </c>
      <c r="G231" s="13">
        <v>44462.616927650466</v>
      </c>
      <c r="H231" s="14">
        <f>IFERROR(__xludf.DUMMYFUNCTION("SPLIT(G231, "", "")"),44462.0)</f>
        <v>44462</v>
      </c>
      <c r="I231" s="15">
        <f>IFERROR(__xludf.DUMMYFUNCTION("""COMPUTED_VALUE"""),0.6169328703703704)</f>
        <v>0.6169328704</v>
      </c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12">
        <v>3.39</v>
      </c>
      <c r="B232" s="12">
        <v>226.2</v>
      </c>
      <c r="C232" s="12">
        <v>482.7</v>
      </c>
      <c r="D232" s="12">
        <v>3.09</v>
      </c>
      <c r="E232" s="12">
        <v>0.63</v>
      </c>
      <c r="F232" s="12">
        <v>50.0</v>
      </c>
      <c r="G232" s="13">
        <v>44462.61702755787</v>
      </c>
      <c r="H232" s="14">
        <f>IFERROR(__xludf.DUMMYFUNCTION("SPLIT(G232, "", "")"),44462.0)</f>
        <v>44462</v>
      </c>
      <c r="I232" s="15">
        <f>IFERROR(__xludf.DUMMYFUNCTION("""COMPUTED_VALUE"""),0.617025462962963)</f>
        <v>0.617025463</v>
      </c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12">
        <v>3.39</v>
      </c>
      <c r="B233" s="12">
        <v>226.2</v>
      </c>
      <c r="C233" s="12">
        <v>482.8</v>
      </c>
      <c r="D233" s="12">
        <v>3.09</v>
      </c>
      <c r="E233" s="12">
        <v>0.63</v>
      </c>
      <c r="F233" s="12">
        <v>50.0</v>
      </c>
      <c r="G233" s="13">
        <v>44462.6171275463</v>
      </c>
      <c r="H233" s="14">
        <f>IFERROR(__xludf.DUMMYFUNCTION("SPLIT(G233, "", "")"),44462.0)</f>
        <v>44462</v>
      </c>
      <c r="I233" s="15">
        <f>IFERROR(__xludf.DUMMYFUNCTION("""COMPUTED_VALUE"""),0.6171296296296296)</f>
        <v>0.6171296296</v>
      </c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12">
        <v>3.39</v>
      </c>
      <c r="B234" s="12">
        <v>226.1</v>
      </c>
      <c r="C234" s="12">
        <v>482.8</v>
      </c>
      <c r="D234" s="12">
        <v>3.09</v>
      </c>
      <c r="E234" s="12">
        <v>0.63</v>
      </c>
      <c r="F234" s="12">
        <v>50.0</v>
      </c>
      <c r="G234" s="13">
        <v>44462.61723047454</v>
      </c>
      <c r="H234" s="14">
        <f>IFERROR(__xludf.DUMMYFUNCTION("SPLIT(G234, "", "")"),44462.0)</f>
        <v>44462</v>
      </c>
      <c r="I234" s="15">
        <f>IFERROR(__xludf.DUMMYFUNCTION("""COMPUTED_VALUE"""),0.6172337962962963)</f>
        <v>0.6172337963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12">
        <v>3.39</v>
      </c>
      <c r="B235" s="12">
        <v>225.9</v>
      </c>
      <c r="C235" s="12">
        <v>482.9</v>
      </c>
      <c r="D235" s="12">
        <v>3.1</v>
      </c>
      <c r="E235" s="12">
        <v>0.63</v>
      </c>
      <c r="F235" s="12">
        <v>50.0</v>
      </c>
      <c r="G235" s="13">
        <v>44462.61732734954</v>
      </c>
      <c r="H235" s="14">
        <f>IFERROR(__xludf.DUMMYFUNCTION("SPLIT(G235, "", "")"),44462.0)</f>
        <v>44462</v>
      </c>
      <c r="I235" s="15">
        <f>IFERROR(__xludf.DUMMYFUNCTION("""COMPUTED_VALUE"""),0.6173263888888889)</f>
        <v>0.6173263889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12">
        <v>3.4</v>
      </c>
      <c r="B236" s="12">
        <v>226.0</v>
      </c>
      <c r="C236" s="12">
        <v>483.1</v>
      </c>
      <c r="D236" s="12">
        <v>3.1</v>
      </c>
      <c r="E236" s="12">
        <v>0.63</v>
      </c>
      <c r="F236" s="12">
        <v>50.0</v>
      </c>
      <c r="G236" s="13">
        <v>44462.61742476852</v>
      </c>
      <c r="H236" s="14">
        <f>IFERROR(__xludf.DUMMYFUNCTION("SPLIT(G236, "", "")"),44462.0)</f>
        <v>44462</v>
      </c>
      <c r="I236" s="15">
        <f>IFERROR(__xludf.DUMMYFUNCTION("""COMPUTED_VALUE"""),0.6174305555555556)</f>
        <v>0.6174305556</v>
      </c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12">
        <v>3.39</v>
      </c>
      <c r="B237" s="12">
        <v>226.0</v>
      </c>
      <c r="C237" s="12">
        <v>483.2</v>
      </c>
      <c r="D237" s="12">
        <v>3.1</v>
      </c>
      <c r="E237" s="12">
        <v>0.63</v>
      </c>
      <c r="F237" s="12">
        <v>50.0</v>
      </c>
      <c r="G237" s="13">
        <v>44462.61752368056</v>
      </c>
      <c r="H237" s="14">
        <f>IFERROR(__xludf.DUMMYFUNCTION("SPLIT(G237, "", "")"),44462.0)</f>
        <v>44462</v>
      </c>
      <c r="I237" s="15">
        <f>IFERROR(__xludf.DUMMYFUNCTION("""COMPUTED_VALUE"""),0.6175231481481481)</f>
        <v>0.6175231481</v>
      </c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12">
        <v>3.4</v>
      </c>
      <c r="B238" s="12">
        <v>226.1</v>
      </c>
      <c r="C238" s="12">
        <v>483.3</v>
      </c>
      <c r="D238" s="12">
        <v>3.1</v>
      </c>
      <c r="E238" s="12">
        <v>0.63</v>
      </c>
      <c r="F238" s="12">
        <v>49.9</v>
      </c>
      <c r="G238" s="13">
        <v>44462.61762207176</v>
      </c>
      <c r="H238" s="14">
        <f>IFERROR(__xludf.DUMMYFUNCTION("SPLIT(G238, "", "")"),44462.0)</f>
        <v>44462</v>
      </c>
      <c r="I238" s="15">
        <f>IFERROR(__xludf.DUMMYFUNCTION("""COMPUTED_VALUE"""),0.6176273148148148)</f>
        <v>0.6176273148</v>
      </c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12">
        <v>3.39</v>
      </c>
      <c r="B239" s="12">
        <v>226.1</v>
      </c>
      <c r="C239" s="12">
        <v>483.3</v>
      </c>
      <c r="D239" s="12">
        <v>3.1</v>
      </c>
      <c r="E239" s="12">
        <v>0.63</v>
      </c>
      <c r="F239" s="12">
        <v>49.9</v>
      </c>
      <c r="G239" s="13">
        <v>44462.61772289352</v>
      </c>
      <c r="H239" s="14">
        <f>IFERROR(__xludf.DUMMYFUNCTION("SPLIT(G239, "", "")"),44462.0)</f>
        <v>44462</v>
      </c>
      <c r="I239" s="15">
        <f>IFERROR(__xludf.DUMMYFUNCTION("""COMPUTED_VALUE"""),0.6177199074074075)</f>
        <v>0.6177199074</v>
      </c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12">
        <v>3.4</v>
      </c>
      <c r="B240" s="12">
        <v>226.2</v>
      </c>
      <c r="C240" s="12">
        <v>483.4</v>
      </c>
      <c r="D240" s="12">
        <v>3.1</v>
      </c>
      <c r="E240" s="12">
        <v>0.63</v>
      </c>
      <c r="F240" s="12">
        <v>50.0</v>
      </c>
      <c r="G240" s="13">
        <v>44462.61782646991</v>
      </c>
      <c r="H240" s="14">
        <f>IFERROR(__xludf.DUMMYFUNCTION("SPLIT(G240, "", "")"),44462.0)</f>
        <v>44462</v>
      </c>
      <c r="I240" s="15">
        <f>IFERROR(__xludf.DUMMYFUNCTION("""COMPUTED_VALUE"""),0.617824074074074)</f>
        <v>0.6178240741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12">
        <v>3.4</v>
      </c>
      <c r="B241" s="12">
        <v>226.1</v>
      </c>
      <c r="C241" s="12">
        <v>483.4</v>
      </c>
      <c r="D241" s="12">
        <v>3.1</v>
      </c>
      <c r="E241" s="12">
        <v>0.63</v>
      </c>
      <c r="F241" s="12">
        <v>50.0</v>
      </c>
      <c r="G241" s="13">
        <v>44462.61792484953</v>
      </c>
      <c r="H241" s="14">
        <f>IFERROR(__xludf.DUMMYFUNCTION("SPLIT(G241, "", "")"),44462.0)</f>
        <v>44462</v>
      </c>
      <c r="I241" s="15">
        <f>IFERROR(__xludf.DUMMYFUNCTION("""COMPUTED_VALUE"""),0.6179282407407407)</f>
        <v>0.6179282407</v>
      </c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12">
        <v>3.4</v>
      </c>
      <c r="B242" s="12">
        <v>226.0</v>
      </c>
      <c r="C242" s="12">
        <v>483.5</v>
      </c>
      <c r="D242" s="12">
        <v>3.1</v>
      </c>
      <c r="E242" s="12">
        <v>0.63</v>
      </c>
      <c r="F242" s="12">
        <v>50.0</v>
      </c>
      <c r="G242" s="13">
        <v>44462.61802540509</v>
      </c>
      <c r="H242" s="14">
        <f>IFERROR(__xludf.DUMMYFUNCTION("SPLIT(G242, "", "")"),44462.0)</f>
        <v>44462</v>
      </c>
      <c r="I242" s="15">
        <f>IFERROR(__xludf.DUMMYFUNCTION("""COMPUTED_VALUE"""),0.6180208333333334)</f>
        <v>0.6180208333</v>
      </c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12">
        <v>3.4</v>
      </c>
      <c r="B243" s="12">
        <v>226.1</v>
      </c>
      <c r="C243" s="12">
        <v>483.6</v>
      </c>
      <c r="D243" s="12">
        <v>3.1</v>
      </c>
      <c r="E243" s="12">
        <v>0.63</v>
      </c>
      <c r="F243" s="12">
        <v>50.0</v>
      </c>
      <c r="G243" s="13">
        <v>44462.61812528935</v>
      </c>
      <c r="H243" s="14">
        <f>IFERROR(__xludf.DUMMYFUNCTION("SPLIT(G243, "", "")"),44462.0)</f>
        <v>44462</v>
      </c>
      <c r="I243" s="15">
        <f>IFERROR(__xludf.DUMMYFUNCTION("""COMPUTED_VALUE"""),0.618125)</f>
        <v>0.618125</v>
      </c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12">
        <v>3.39</v>
      </c>
      <c r="B244" s="12">
        <v>226.3</v>
      </c>
      <c r="C244" s="12">
        <v>483.8</v>
      </c>
      <c r="D244" s="12">
        <v>3.11</v>
      </c>
      <c r="E244" s="12">
        <v>0.63</v>
      </c>
      <c r="F244" s="12">
        <v>50.0</v>
      </c>
      <c r="G244" s="13">
        <v>44462.61822643518</v>
      </c>
      <c r="H244" s="14">
        <f>IFERROR(__xludf.DUMMYFUNCTION("SPLIT(G244, "", "")"),44462.0)</f>
        <v>44462</v>
      </c>
      <c r="I244" s="15">
        <f>IFERROR(__xludf.DUMMYFUNCTION("""COMPUTED_VALUE"""),0.6182291666666667)</f>
        <v>0.6182291667</v>
      </c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12">
        <v>3.4</v>
      </c>
      <c r="B245" s="12">
        <v>226.4</v>
      </c>
      <c r="C245" s="12">
        <v>483.9</v>
      </c>
      <c r="D245" s="12">
        <v>3.11</v>
      </c>
      <c r="E245" s="12">
        <v>0.63</v>
      </c>
      <c r="F245" s="12">
        <v>50.0</v>
      </c>
      <c r="G245" s="13">
        <v>44462.618324282405</v>
      </c>
      <c r="H245" s="14">
        <f>IFERROR(__xludf.DUMMYFUNCTION("SPLIT(G245, "", "")"),44462.0)</f>
        <v>44462</v>
      </c>
      <c r="I245" s="15">
        <f>IFERROR(__xludf.DUMMYFUNCTION("""COMPUTED_VALUE"""),0.6183217592592593)</f>
        <v>0.6183217593</v>
      </c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12">
        <v>3.4</v>
      </c>
      <c r="B246" s="12">
        <v>226.5</v>
      </c>
      <c r="C246" s="12">
        <v>484.1</v>
      </c>
      <c r="D246" s="12">
        <v>3.11</v>
      </c>
      <c r="E246" s="12">
        <v>0.63</v>
      </c>
      <c r="F246" s="12">
        <v>50.0</v>
      </c>
      <c r="G246" s="13">
        <v>44462.61842622685</v>
      </c>
      <c r="H246" s="14">
        <f>IFERROR(__xludf.DUMMYFUNCTION("SPLIT(G246, "", "")"),44462.0)</f>
        <v>44462</v>
      </c>
      <c r="I246" s="15">
        <f>IFERROR(__xludf.DUMMYFUNCTION("""COMPUTED_VALUE"""),0.6184259259259259)</f>
        <v>0.6184259259</v>
      </c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12">
        <v>3.39</v>
      </c>
      <c r="B247" s="12">
        <v>226.4</v>
      </c>
      <c r="C247" s="12">
        <v>484.1</v>
      </c>
      <c r="D247" s="12">
        <v>3.11</v>
      </c>
      <c r="E247" s="12">
        <v>0.63</v>
      </c>
      <c r="F247" s="12">
        <v>50.0</v>
      </c>
      <c r="G247" s="13">
        <v>44462.61852560185</v>
      </c>
      <c r="H247" s="14">
        <f>IFERROR(__xludf.DUMMYFUNCTION("SPLIT(G247, "", "")"),44462.0)</f>
        <v>44462</v>
      </c>
      <c r="I247" s="15">
        <f>IFERROR(__xludf.DUMMYFUNCTION("""COMPUTED_VALUE"""),0.6185300925925926)</f>
        <v>0.6185300926</v>
      </c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12">
        <v>3.4</v>
      </c>
      <c r="B248" s="12">
        <v>226.4</v>
      </c>
      <c r="C248" s="12">
        <v>484.1</v>
      </c>
      <c r="D248" s="12">
        <v>3.11</v>
      </c>
      <c r="E248" s="12">
        <v>0.63</v>
      </c>
      <c r="F248" s="12">
        <v>50.0</v>
      </c>
      <c r="G248" s="13">
        <v>44462.61863103009</v>
      </c>
      <c r="H248" s="14">
        <f>IFERROR(__xludf.DUMMYFUNCTION("SPLIT(G248, "", "")"),44462.0)</f>
        <v>44462</v>
      </c>
      <c r="I248" s="15">
        <f>IFERROR(__xludf.DUMMYFUNCTION("""COMPUTED_VALUE"""),0.6186342592592593)</f>
        <v>0.6186342593</v>
      </c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12">
        <v>3.39</v>
      </c>
      <c r="B249" s="12">
        <v>226.3</v>
      </c>
      <c r="C249" s="12">
        <v>484.2</v>
      </c>
      <c r="D249" s="12">
        <v>3.11</v>
      </c>
      <c r="E249" s="12">
        <v>0.63</v>
      </c>
      <c r="F249" s="12">
        <v>50.0</v>
      </c>
      <c r="G249" s="13">
        <v>44462.61873224537</v>
      </c>
      <c r="H249" s="14">
        <f>IFERROR(__xludf.DUMMYFUNCTION("SPLIT(G249, "", "")"),44462.0)</f>
        <v>44462</v>
      </c>
      <c r="I249" s="15">
        <f>IFERROR(__xludf.DUMMYFUNCTION("""COMPUTED_VALUE"""),0.6187268518518518)</f>
        <v>0.6187268519</v>
      </c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12">
        <v>3.39</v>
      </c>
      <c r="B250" s="12">
        <v>226.2</v>
      </c>
      <c r="C250" s="12">
        <v>484.1</v>
      </c>
      <c r="D250" s="12">
        <v>3.11</v>
      </c>
      <c r="E250" s="12">
        <v>0.63</v>
      </c>
      <c r="F250" s="12">
        <v>50.0</v>
      </c>
      <c r="G250" s="13">
        <v>44462.618836168986</v>
      </c>
      <c r="H250" s="14">
        <f>IFERROR(__xludf.DUMMYFUNCTION("SPLIT(G250, "", "")"),44462.0)</f>
        <v>44462</v>
      </c>
      <c r="I250" s="15">
        <f>IFERROR(__xludf.DUMMYFUNCTION("""COMPUTED_VALUE"""),0.6188310185185185)</f>
        <v>0.6188310185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12">
        <v>3.38</v>
      </c>
      <c r="B251" s="12">
        <v>226.3</v>
      </c>
      <c r="C251" s="12">
        <v>484.3</v>
      </c>
      <c r="D251" s="12">
        <v>3.11</v>
      </c>
      <c r="E251" s="12">
        <v>0.63</v>
      </c>
      <c r="F251" s="12">
        <v>50.0</v>
      </c>
      <c r="G251" s="13">
        <v>44462.618935879625</v>
      </c>
      <c r="H251" s="14">
        <f>IFERROR(__xludf.DUMMYFUNCTION("SPLIT(G251, "", "")"),44462.0)</f>
        <v>44462</v>
      </c>
      <c r="I251" s="15">
        <f>IFERROR(__xludf.DUMMYFUNCTION("""COMPUTED_VALUE"""),0.6189351851851852)</f>
        <v>0.6189351852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12">
        <v>3.38</v>
      </c>
      <c r="B252" s="12">
        <v>226.4</v>
      </c>
      <c r="C252" s="12">
        <v>484.4</v>
      </c>
      <c r="D252" s="12">
        <v>3.12</v>
      </c>
      <c r="E252" s="12">
        <v>0.63</v>
      </c>
      <c r="F252" s="12">
        <v>50.0</v>
      </c>
      <c r="G252" s="13">
        <v>44462.61903605324</v>
      </c>
      <c r="H252" s="14">
        <f>IFERROR(__xludf.DUMMYFUNCTION("SPLIT(G252, "", "")"),44462.0)</f>
        <v>44462</v>
      </c>
      <c r="I252" s="15">
        <f>IFERROR(__xludf.DUMMYFUNCTION("""COMPUTED_VALUE"""),0.6190393518518519)</f>
        <v>0.6190393519</v>
      </c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12">
        <v>3.38</v>
      </c>
      <c r="B253" s="12">
        <v>226.4</v>
      </c>
      <c r="C253" s="12">
        <v>484.4</v>
      </c>
      <c r="D253" s="12">
        <v>3.12</v>
      </c>
      <c r="E253" s="12">
        <v>0.63</v>
      </c>
      <c r="F253" s="12">
        <v>50.0</v>
      </c>
      <c r="G253" s="13">
        <v>44462.619133472224</v>
      </c>
      <c r="H253" s="14">
        <f>IFERROR(__xludf.DUMMYFUNCTION("SPLIT(G253, "", "")"),44462.0)</f>
        <v>44462</v>
      </c>
      <c r="I253" s="15">
        <f>IFERROR(__xludf.DUMMYFUNCTION("""COMPUTED_VALUE"""),0.6191319444444444)</f>
        <v>0.6191319444</v>
      </c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12">
        <v>3.39</v>
      </c>
      <c r="B254" s="12">
        <v>226.2</v>
      </c>
      <c r="C254" s="12">
        <v>484.6</v>
      </c>
      <c r="D254" s="12">
        <v>3.12</v>
      </c>
      <c r="E254" s="12">
        <v>0.63</v>
      </c>
      <c r="F254" s="12">
        <v>50.0</v>
      </c>
      <c r="G254" s="13">
        <v>44462.619236087965</v>
      </c>
      <c r="H254" s="14">
        <f>IFERROR(__xludf.DUMMYFUNCTION("SPLIT(G254, "", "")"),44462.0)</f>
        <v>44462</v>
      </c>
      <c r="I254" s="15">
        <f>IFERROR(__xludf.DUMMYFUNCTION("""COMPUTED_VALUE"""),0.6192361111111111)</f>
        <v>0.6192361111</v>
      </c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12">
        <v>3.39</v>
      </c>
      <c r="B255" s="12">
        <v>226.2</v>
      </c>
      <c r="C255" s="12">
        <v>484.7</v>
      </c>
      <c r="D255" s="12">
        <v>3.12</v>
      </c>
      <c r="E255" s="12">
        <v>0.63</v>
      </c>
      <c r="F255" s="12">
        <v>49.9</v>
      </c>
      <c r="G255" s="13">
        <v>44462.61933945602</v>
      </c>
      <c r="H255" s="14">
        <f>IFERROR(__xludf.DUMMYFUNCTION("SPLIT(G255, "", "")"),44462.0)</f>
        <v>44462</v>
      </c>
      <c r="I255" s="15">
        <f>IFERROR(__xludf.DUMMYFUNCTION("""COMPUTED_VALUE"""),0.6193402777777778)</f>
        <v>0.6193402778</v>
      </c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12">
        <v>3.39</v>
      </c>
      <c r="B256" s="12">
        <v>226.1</v>
      </c>
      <c r="C256" s="12">
        <v>484.7</v>
      </c>
      <c r="D256" s="12">
        <v>3.12</v>
      </c>
      <c r="E256" s="12">
        <v>0.63</v>
      </c>
      <c r="F256" s="12">
        <v>49.9</v>
      </c>
      <c r="G256" s="13">
        <v>44462.619442407406</v>
      </c>
      <c r="H256" s="14">
        <f>IFERROR(__xludf.DUMMYFUNCTION("SPLIT(G256, "", "")"),44462.0)</f>
        <v>44462</v>
      </c>
      <c r="I256" s="15">
        <f>IFERROR(__xludf.DUMMYFUNCTION("""COMPUTED_VALUE"""),0.6194444444444445)</f>
        <v>0.6194444444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12">
        <v>3.4</v>
      </c>
      <c r="B257" s="12">
        <v>226.1</v>
      </c>
      <c r="C257" s="12">
        <v>484.8</v>
      </c>
      <c r="D257" s="12">
        <v>3.12</v>
      </c>
      <c r="E257" s="12">
        <v>0.63</v>
      </c>
      <c r="F257" s="12">
        <v>50.0</v>
      </c>
      <c r="G257" s="13">
        <v>44462.6195453588</v>
      </c>
      <c r="H257" s="14">
        <f>IFERROR(__xludf.DUMMYFUNCTION("SPLIT(G257, "", "")"),44462.0)</f>
        <v>44462</v>
      </c>
      <c r="I257" s="15">
        <f>IFERROR(__xludf.DUMMYFUNCTION("""COMPUTED_VALUE"""),0.6195486111111111)</f>
        <v>0.6195486111</v>
      </c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12">
        <v>3.39</v>
      </c>
      <c r="B258" s="12">
        <v>226.2</v>
      </c>
      <c r="C258" s="12">
        <v>484.8</v>
      </c>
      <c r="D258" s="12">
        <v>3.12</v>
      </c>
      <c r="E258" s="12">
        <v>0.63</v>
      </c>
      <c r="F258" s="12">
        <v>49.9</v>
      </c>
      <c r="G258" s="13">
        <v>44462.61965436343</v>
      </c>
      <c r="H258" s="14">
        <f>IFERROR(__xludf.DUMMYFUNCTION("SPLIT(G258, "", "")"),44462.0)</f>
        <v>44462</v>
      </c>
      <c r="I258" s="15">
        <f>IFERROR(__xludf.DUMMYFUNCTION("""COMPUTED_VALUE"""),0.6196527777777778)</f>
        <v>0.6196527778</v>
      </c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12">
        <v>3.4</v>
      </c>
      <c r="B259" s="12">
        <v>226.0</v>
      </c>
      <c r="C259" s="12">
        <v>484.9</v>
      </c>
      <c r="D259" s="12">
        <v>3.12</v>
      </c>
      <c r="E259" s="12">
        <v>0.63</v>
      </c>
      <c r="F259" s="12">
        <v>49.9</v>
      </c>
      <c r="G259" s="13">
        <v>44462.61975989583</v>
      </c>
      <c r="H259" s="14">
        <f>IFERROR(__xludf.DUMMYFUNCTION("SPLIT(G259, "", "")"),44462.0)</f>
        <v>44462</v>
      </c>
      <c r="I259" s="15">
        <f>IFERROR(__xludf.DUMMYFUNCTION("""COMPUTED_VALUE"""),0.6197569444444444)</f>
        <v>0.6197569444</v>
      </c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12">
        <v>3.4</v>
      </c>
      <c r="B260" s="12">
        <v>226.0</v>
      </c>
      <c r="C260" s="12">
        <v>485.0</v>
      </c>
      <c r="D260" s="12">
        <v>3.12</v>
      </c>
      <c r="E260" s="12">
        <v>0.63</v>
      </c>
      <c r="F260" s="12">
        <v>49.9</v>
      </c>
      <c r="G260" s="13">
        <v>44462.61986126157</v>
      </c>
      <c r="H260" s="14">
        <f>IFERROR(__xludf.DUMMYFUNCTION("SPLIT(G260, "", "")"),44462.0)</f>
        <v>44462</v>
      </c>
      <c r="I260" s="15">
        <f>IFERROR(__xludf.DUMMYFUNCTION("""COMPUTED_VALUE"""),0.6198611111111111)</f>
        <v>0.6198611111</v>
      </c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12">
        <v>3.4</v>
      </c>
      <c r="B261" s="12">
        <v>226.2</v>
      </c>
      <c r="C261" s="12">
        <v>485.2</v>
      </c>
      <c r="D261" s="12">
        <v>3.13</v>
      </c>
      <c r="E261" s="12">
        <v>0.63</v>
      </c>
      <c r="F261" s="12">
        <v>49.9</v>
      </c>
      <c r="G261" s="13">
        <v>44462.61996491898</v>
      </c>
      <c r="H261" s="14">
        <f>IFERROR(__xludf.DUMMYFUNCTION("SPLIT(G261, "", "")"),44462.0)</f>
        <v>44462</v>
      </c>
      <c r="I261" s="15">
        <f>IFERROR(__xludf.DUMMYFUNCTION("""COMPUTED_VALUE"""),0.6199652777777778)</f>
        <v>0.6199652778</v>
      </c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12">
        <v>3.39</v>
      </c>
      <c r="B262" s="12">
        <v>226.3</v>
      </c>
      <c r="C262" s="12">
        <v>485.1</v>
      </c>
      <c r="D262" s="12">
        <v>3.13</v>
      </c>
      <c r="E262" s="12">
        <v>0.63</v>
      </c>
      <c r="F262" s="12">
        <v>49.9</v>
      </c>
      <c r="G262" s="13">
        <v>44462.62007060186</v>
      </c>
      <c r="H262" s="14">
        <f>IFERROR(__xludf.DUMMYFUNCTION("SPLIT(G262, "", "")"),44462.0)</f>
        <v>44462</v>
      </c>
      <c r="I262" s="15">
        <f>IFERROR(__xludf.DUMMYFUNCTION("""COMPUTED_VALUE"""),0.6200694444444445)</f>
        <v>0.6200694444</v>
      </c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12">
        <v>3.38</v>
      </c>
      <c r="B263" s="12">
        <v>226.3</v>
      </c>
      <c r="C263" s="12">
        <v>485.1</v>
      </c>
      <c r="D263" s="12">
        <v>3.13</v>
      </c>
      <c r="E263" s="12">
        <v>0.63</v>
      </c>
      <c r="F263" s="12">
        <v>50.0</v>
      </c>
      <c r="G263" s="13">
        <v>44462.62017069444</v>
      </c>
      <c r="H263" s="14">
        <f>IFERROR(__xludf.DUMMYFUNCTION("SPLIT(G263, "", "")"),44462.0)</f>
        <v>44462</v>
      </c>
      <c r="I263" s="15">
        <f>IFERROR(__xludf.DUMMYFUNCTION("""COMPUTED_VALUE"""),0.6201736111111111)</f>
        <v>0.6201736111</v>
      </c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12">
        <v>3.39</v>
      </c>
      <c r="B264" s="12">
        <v>226.3</v>
      </c>
      <c r="C264" s="12">
        <v>485.3</v>
      </c>
      <c r="D264" s="12">
        <v>3.13</v>
      </c>
      <c r="E264" s="12">
        <v>0.63</v>
      </c>
      <c r="F264" s="12">
        <v>50.0</v>
      </c>
      <c r="G264" s="13">
        <v>44462.62027083333</v>
      </c>
      <c r="H264" s="14">
        <f>IFERROR(__xludf.DUMMYFUNCTION("SPLIT(G264, "", "")"),44462.0)</f>
        <v>44462</v>
      </c>
      <c r="I264" s="15">
        <f>IFERROR(__xludf.DUMMYFUNCTION("""COMPUTED_VALUE"""),0.6202662037037037)</f>
        <v>0.6202662037</v>
      </c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12">
        <v>3.38</v>
      </c>
      <c r="B265" s="12">
        <v>226.4</v>
      </c>
      <c r="C265" s="12">
        <v>485.4</v>
      </c>
      <c r="D265" s="12">
        <v>3.13</v>
      </c>
      <c r="E265" s="12">
        <v>0.63</v>
      </c>
      <c r="F265" s="12">
        <v>50.0</v>
      </c>
      <c r="G265" s="13">
        <v>44462.6203728125</v>
      </c>
      <c r="H265" s="14">
        <f>IFERROR(__xludf.DUMMYFUNCTION("SPLIT(G265, "", "")"),44462.0)</f>
        <v>44462</v>
      </c>
      <c r="I265" s="15">
        <f>IFERROR(__xludf.DUMMYFUNCTION("""COMPUTED_VALUE"""),0.6203703703703703)</f>
        <v>0.6203703704</v>
      </c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12">
        <v>3.4</v>
      </c>
      <c r="B266" s="12">
        <v>226.4</v>
      </c>
      <c r="C266" s="12">
        <v>485.6</v>
      </c>
      <c r="D266" s="12">
        <v>3.13</v>
      </c>
      <c r="E266" s="12">
        <v>0.63</v>
      </c>
      <c r="F266" s="12">
        <v>50.0</v>
      </c>
      <c r="G266" s="13">
        <v>44462.62047155092</v>
      </c>
      <c r="H266" s="14">
        <f>IFERROR(__xludf.DUMMYFUNCTION("SPLIT(G266, "", "")"),44462.0)</f>
        <v>44462</v>
      </c>
      <c r="I266" s="15">
        <f>IFERROR(__xludf.DUMMYFUNCTION("""COMPUTED_VALUE"""),0.620474537037037)</f>
        <v>0.620474537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12">
        <v>3.39</v>
      </c>
      <c r="B267" s="12">
        <v>226.4</v>
      </c>
      <c r="C267" s="12">
        <v>485.7</v>
      </c>
      <c r="D267" s="12">
        <v>3.13</v>
      </c>
      <c r="E267" s="12">
        <v>0.63</v>
      </c>
      <c r="F267" s="12">
        <v>50.0</v>
      </c>
      <c r="G267" s="13">
        <v>44462.62057039352</v>
      </c>
      <c r="H267" s="14">
        <f>IFERROR(__xludf.DUMMYFUNCTION("SPLIT(G267, "", "")"),44462.0)</f>
        <v>44462</v>
      </c>
      <c r="I267" s="15">
        <f>IFERROR(__xludf.DUMMYFUNCTION("""COMPUTED_VALUE"""),0.6205671296296297)</f>
        <v>0.6205671296</v>
      </c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12">
        <v>3.4</v>
      </c>
      <c r="B268" s="12">
        <v>226.4</v>
      </c>
      <c r="C268" s="12">
        <v>485.8</v>
      </c>
      <c r="D268" s="12">
        <v>3.13</v>
      </c>
      <c r="E268" s="12">
        <v>0.63</v>
      </c>
      <c r="F268" s="12">
        <v>50.0</v>
      </c>
      <c r="G268" s="13">
        <v>44462.620668275464</v>
      </c>
      <c r="H268" s="14">
        <f>IFERROR(__xludf.DUMMYFUNCTION("SPLIT(G268, "", "")"),44462.0)</f>
        <v>44462</v>
      </c>
      <c r="I268" s="15">
        <f>IFERROR(__xludf.DUMMYFUNCTION("""COMPUTED_VALUE"""),0.6206712962962962)</f>
        <v>0.6206712963</v>
      </c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12">
        <v>3.41</v>
      </c>
      <c r="B269" s="12">
        <v>226.6</v>
      </c>
      <c r="C269" s="12">
        <v>486.0</v>
      </c>
      <c r="D269" s="12">
        <v>3.13</v>
      </c>
      <c r="E269" s="12">
        <v>0.63</v>
      </c>
      <c r="F269" s="12">
        <v>50.0</v>
      </c>
      <c r="G269" s="13">
        <v>44462.62077217593</v>
      </c>
      <c r="H269" s="14">
        <f>IFERROR(__xludf.DUMMYFUNCTION("SPLIT(G269, "", "")"),44462.0)</f>
        <v>44462</v>
      </c>
      <c r="I269" s="15">
        <f>IFERROR(__xludf.DUMMYFUNCTION("""COMPUTED_VALUE"""),0.6207754629629629)</f>
        <v>0.620775463</v>
      </c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12">
        <v>3.4</v>
      </c>
      <c r="B270" s="12">
        <v>226.5</v>
      </c>
      <c r="C270" s="12">
        <v>485.9</v>
      </c>
      <c r="D270" s="12">
        <v>3.14</v>
      </c>
      <c r="E270" s="12">
        <v>0.63</v>
      </c>
      <c r="F270" s="12">
        <v>50.0</v>
      </c>
      <c r="G270" s="13">
        <v>44462.620878807866</v>
      </c>
      <c r="H270" s="14">
        <f>IFERROR(__xludf.DUMMYFUNCTION("SPLIT(G270, "", "")"),44462.0)</f>
        <v>44462</v>
      </c>
      <c r="I270" s="15">
        <f>IFERROR(__xludf.DUMMYFUNCTION("""COMPUTED_VALUE"""),0.6208796296296296)</f>
        <v>0.6208796296</v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12">
        <v>3.38</v>
      </c>
      <c r="B271" s="12">
        <v>226.6</v>
      </c>
      <c r="C271" s="12">
        <v>485.8</v>
      </c>
      <c r="D271" s="12">
        <v>3.14</v>
      </c>
      <c r="E271" s="12">
        <v>0.63</v>
      </c>
      <c r="F271" s="12">
        <v>50.0</v>
      </c>
      <c r="G271" s="13">
        <v>44462.62098078703</v>
      </c>
      <c r="H271" s="14">
        <f>IFERROR(__xludf.DUMMYFUNCTION("SPLIT(G271, "", "")"),44462.0)</f>
        <v>44462</v>
      </c>
      <c r="I271" s="15">
        <f>IFERROR(__xludf.DUMMYFUNCTION("""COMPUTED_VALUE"""),0.6209837962962963)</f>
        <v>0.6209837963</v>
      </c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12">
        <v>3.38</v>
      </c>
      <c r="B272" s="12">
        <v>226.5</v>
      </c>
      <c r="C272" s="12">
        <v>485.9</v>
      </c>
      <c r="D272" s="12">
        <v>3.14</v>
      </c>
      <c r="E272" s="12">
        <v>0.63</v>
      </c>
      <c r="F272" s="12">
        <v>50.0</v>
      </c>
      <c r="G272" s="13">
        <v>44462.62108309028</v>
      </c>
      <c r="H272" s="14">
        <f>IFERROR(__xludf.DUMMYFUNCTION("SPLIT(G272, "", "")"),44462.0)</f>
        <v>44462</v>
      </c>
      <c r="I272" s="15">
        <f>IFERROR(__xludf.DUMMYFUNCTION("""COMPUTED_VALUE"""),0.621087962962963)</f>
        <v>0.621087963</v>
      </c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12">
        <v>3.39</v>
      </c>
      <c r="B273" s="12">
        <v>226.4</v>
      </c>
      <c r="C273" s="12">
        <v>486.1</v>
      </c>
      <c r="D273" s="12">
        <v>3.14</v>
      </c>
      <c r="E273" s="12">
        <v>0.63</v>
      </c>
      <c r="F273" s="12">
        <v>50.0</v>
      </c>
      <c r="G273" s="13">
        <v>44462.621179340276</v>
      </c>
      <c r="H273" s="14">
        <f>IFERROR(__xludf.DUMMYFUNCTION("SPLIT(G273, "", "")"),44462.0)</f>
        <v>44462</v>
      </c>
      <c r="I273" s="15">
        <f>IFERROR(__xludf.DUMMYFUNCTION("""COMPUTED_VALUE"""),0.6211805555555555)</f>
        <v>0.6211805556</v>
      </c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12">
        <v>3.39</v>
      </c>
      <c r="B274" s="12">
        <v>226.3</v>
      </c>
      <c r="C274" s="12">
        <v>486.0</v>
      </c>
      <c r="D274" s="12">
        <v>3.14</v>
      </c>
      <c r="E274" s="12">
        <v>0.63</v>
      </c>
      <c r="F274" s="12">
        <v>49.9</v>
      </c>
      <c r="G274" s="13">
        <v>44462.62127508102</v>
      </c>
      <c r="H274" s="14">
        <f>IFERROR(__xludf.DUMMYFUNCTION("SPLIT(G274, "", "")"),44462.0)</f>
        <v>44462</v>
      </c>
      <c r="I274" s="15">
        <f>IFERROR(__xludf.DUMMYFUNCTION("""COMPUTED_VALUE"""),0.6212731481481482)</f>
        <v>0.6212731481</v>
      </c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12">
        <v>3.39</v>
      </c>
      <c r="B275" s="12">
        <v>226.4</v>
      </c>
      <c r="C275" s="12">
        <v>486.2</v>
      </c>
      <c r="D275" s="12">
        <v>3.14</v>
      </c>
      <c r="E275" s="12">
        <v>0.63</v>
      </c>
      <c r="F275" s="12">
        <v>49.9</v>
      </c>
      <c r="G275" s="13">
        <v>44462.62137690972</v>
      </c>
      <c r="H275" s="14">
        <f>IFERROR(__xludf.DUMMYFUNCTION("SPLIT(G275, "", "")"),44462.0)</f>
        <v>44462</v>
      </c>
      <c r="I275" s="15">
        <f>IFERROR(__xludf.DUMMYFUNCTION("""COMPUTED_VALUE"""),0.6213773148148148)</f>
        <v>0.6213773148</v>
      </c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12">
        <v>3.4</v>
      </c>
      <c r="B276" s="12">
        <v>226.3</v>
      </c>
      <c r="C276" s="12">
        <v>486.2</v>
      </c>
      <c r="D276" s="12">
        <v>3.14</v>
      </c>
      <c r="E276" s="12">
        <v>0.63</v>
      </c>
      <c r="F276" s="12">
        <v>49.9</v>
      </c>
      <c r="G276" s="13">
        <v>44462.621485138894</v>
      </c>
      <c r="H276" s="14">
        <f>IFERROR(__xludf.DUMMYFUNCTION("SPLIT(G276, "", "")"),44462.0)</f>
        <v>44462</v>
      </c>
      <c r="I276" s="15">
        <f>IFERROR(__xludf.DUMMYFUNCTION("""COMPUTED_VALUE"""),0.6214814814814815)</f>
        <v>0.6214814815</v>
      </c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12">
        <v>3.4</v>
      </c>
      <c r="B277" s="12">
        <v>226.2</v>
      </c>
      <c r="C277" s="12">
        <v>486.3</v>
      </c>
      <c r="D277" s="12">
        <v>3.14</v>
      </c>
      <c r="E277" s="12">
        <v>0.63</v>
      </c>
      <c r="F277" s="12">
        <v>49.9</v>
      </c>
      <c r="G277" s="13">
        <v>44462.621600729166</v>
      </c>
      <c r="H277" s="14">
        <f>IFERROR(__xludf.DUMMYFUNCTION("SPLIT(G277, "", "")"),44462.0)</f>
        <v>44462</v>
      </c>
      <c r="I277" s="15">
        <f>IFERROR(__xludf.DUMMYFUNCTION("""COMPUTED_VALUE"""),0.6215972222222222)</f>
        <v>0.6215972222</v>
      </c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12">
        <v>3.4</v>
      </c>
      <c r="B278" s="12">
        <v>226.3</v>
      </c>
      <c r="C278" s="12">
        <v>486.4</v>
      </c>
      <c r="D278" s="12">
        <v>3.15</v>
      </c>
      <c r="E278" s="12">
        <v>0.63</v>
      </c>
      <c r="F278" s="12">
        <v>50.0</v>
      </c>
      <c r="G278" s="13">
        <v>44462.621707997685</v>
      </c>
      <c r="H278" s="14">
        <f>IFERROR(__xludf.DUMMYFUNCTION("SPLIT(G278, "", "")"),44462.0)</f>
        <v>44462</v>
      </c>
      <c r="I278" s="15">
        <f>IFERROR(__xludf.DUMMYFUNCTION("""COMPUTED_VALUE"""),0.621712962962963)</f>
        <v>0.621712963</v>
      </c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12">
        <v>3.4</v>
      </c>
      <c r="B279" s="12">
        <v>226.4</v>
      </c>
      <c r="C279" s="12">
        <v>486.4</v>
      </c>
      <c r="D279" s="12">
        <v>3.15</v>
      </c>
      <c r="E279" s="12">
        <v>0.63</v>
      </c>
      <c r="F279" s="12">
        <v>50.0</v>
      </c>
      <c r="G279" s="13">
        <v>44462.62181561343</v>
      </c>
      <c r="H279" s="14">
        <f>IFERROR(__xludf.DUMMYFUNCTION("SPLIT(G279, "", "")"),44462.0)</f>
        <v>44462</v>
      </c>
      <c r="I279" s="15">
        <f>IFERROR(__xludf.DUMMYFUNCTION("""COMPUTED_VALUE"""),0.6218171296296297)</f>
        <v>0.6218171296</v>
      </c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12">
        <v>3.4</v>
      </c>
      <c r="B280" s="12">
        <v>226.3</v>
      </c>
      <c r="C280" s="12">
        <v>486.5</v>
      </c>
      <c r="D280" s="12">
        <v>3.15</v>
      </c>
      <c r="E280" s="12">
        <v>0.63</v>
      </c>
      <c r="F280" s="12">
        <v>50.0</v>
      </c>
      <c r="G280" s="13">
        <v>44462.621919537036</v>
      </c>
      <c r="H280" s="14">
        <f>IFERROR(__xludf.DUMMYFUNCTION("SPLIT(G280, "", "")"),44462.0)</f>
        <v>44462</v>
      </c>
      <c r="I280" s="15">
        <f>IFERROR(__xludf.DUMMYFUNCTION("""COMPUTED_VALUE"""),0.6219212962962963)</f>
        <v>0.6219212963</v>
      </c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12">
        <v>3.4</v>
      </c>
      <c r="B281" s="12">
        <v>226.5</v>
      </c>
      <c r="C281" s="12">
        <v>486.6</v>
      </c>
      <c r="D281" s="12">
        <v>3.15</v>
      </c>
      <c r="E281" s="12">
        <v>0.63</v>
      </c>
      <c r="F281" s="12">
        <v>50.0</v>
      </c>
      <c r="G281" s="13">
        <v>44462.6220187037</v>
      </c>
      <c r="H281" s="14">
        <f>IFERROR(__xludf.DUMMYFUNCTION("SPLIT(G281, "", "")"),44462.0)</f>
        <v>44462</v>
      </c>
      <c r="I281" s="15">
        <f>IFERROR(__xludf.DUMMYFUNCTION("""COMPUTED_VALUE"""),0.6220138888888889)</f>
        <v>0.6220138889</v>
      </c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12">
        <v>3.4</v>
      </c>
      <c r="B282" s="12">
        <v>226.4</v>
      </c>
      <c r="C282" s="12">
        <v>486.7</v>
      </c>
      <c r="D282" s="12">
        <v>3.15</v>
      </c>
      <c r="E282" s="12">
        <v>0.63</v>
      </c>
      <c r="F282" s="12">
        <v>50.0</v>
      </c>
      <c r="G282" s="13">
        <v>44462.62211971065</v>
      </c>
      <c r="H282" s="14">
        <f>IFERROR(__xludf.DUMMYFUNCTION("SPLIT(G282, "", "")"),44462.0)</f>
        <v>44462</v>
      </c>
      <c r="I282" s="15">
        <f>IFERROR(__xludf.DUMMYFUNCTION("""COMPUTED_VALUE"""),0.6221180555555555)</f>
        <v>0.6221180556</v>
      </c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12">
        <v>3.4</v>
      </c>
      <c r="B283" s="12">
        <v>226.4</v>
      </c>
      <c r="C283" s="12">
        <v>486.8</v>
      </c>
      <c r="D283" s="12">
        <v>3.15</v>
      </c>
      <c r="E283" s="12">
        <v>0.63</v>
      </c>
      <c r="F283" s="12">
        <v>50.0</v>
      </c>
      <c r="G283" s="13">
        <v>44462.62223738426</v>
      </c>
      <c r="H283" s="14">
        <f>IFERROR(__xludf.DUMMYFUNCTION("SPLIT(G283, "", "")"),44462.0)</f>
        <v>44462</v>
      </c>
      <c r="I283" s="15">
        <f>IFERROR(__xludf.DUMMYFUNCTION("""COMPUTED_VALUE"""),0.6222337962962963)</f>
        <v>0.6222337963</v>
      </c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12">
        <v>3.4</v>
      </c>
      <c r="B284" s="12">
        <v>226.4</v>
      </c>
      <c r="C284" s="12">
        <v>486.9</v>
      </c>
      <c r="D284" s="12">
        <v>3.15</v>
      </c>
      <c r="E284" s="12">
        <v>0.63</v>
      </c>
      <c r="F284" s="12">
        <v>50.0</v>
      </c>
      <c r="G284" s="13">
        <v>44462.62233640046</v>
      </c>
      <c r="H284" s="14">
        <f>IFERROR(__xludf.DUMMYFUNCTION("SPLIT(G284, "", "")"),44462.0)</f>
        <v>44462</v>
      </c>
      <c r="I284" s="15">
        <f>IFERROR(__xludf.DUMMYFUNCTION("""COMPUTED_VALUE"""),0.622337962962963)</f>
        <v>0.622337963</v>
      </c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12">
        <v>3.41</v>
      </c>
      <c r="B285" s="12">
        <v>226.3</v>
      </c>
      <c r="C285" s="12">
        <v>487.0</v>
      </c>
      <c r="D285" s="12">
        <v>3.15</v>
      </c>
      <c r="E285" s="12">
        <v>0.63</v>
      </c>
      <c r="F285" s="12">
        <v>50.0</v>
      </c>
      <c r="G285" s="13">
        <v>44462.62243928241</v>
      </c>
      <c r="H285" s="14">
        <f>IFERROR(__xludf.DUMMYFUNCTION("SPLIT(G285, "", "")"),44462.0)</f>
        <v>44462</v>
      </c>
      <c r="I285" s="15">
        <f>IFERROR(__xludf.DUMMYFUNCTION("""COMPUTED_VALUE"""),0.6224421296296296)</f>
        <v>0.6224421296</v>
      </c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12">
        <v>3.41</v>
      </c>
      <c r="B286" s="12">
        <v>226.3</v>
      </c>
      <c r="C286" s="12">
        <v>487.0</v>
      </c>
      <c r="D286" s="12">
        <v>3.16</v>
      </c>
      <c r="E286" s="12">
        <v>0.63</v>
      </c>
      <c r="F286" s="12">
        <v>50.0</v>
      </c>
      <c r="G286" s="13">
        <v>44462.622557800925</v>
      </c>
      <c r="H286" s="14">
        <f>IFERROR(__xludf.DUMMYFUNCTION("SPLIT(G286, "", "")"),44462.0)</f>
        <v>44462</v>
      </c>
      <c r="I286" s="15">
        <f>IFERROR(__xludf.DUMMYFUNCTION("""COMPUTED_VALUE"""),0.6225578703703704)</f>
        <v>0.6225578704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12">
        <v>3.41</v>
      </c>
      <c r="B287" s="12">
        <v>226.2</v>
      </c>
      <c r="C287" s="12">
        <v>487.0</v>
      </c>
      <c r="D287" s="12">
        <v>3.16</v>
      </c>
      <c r="E287" s="12">
        <v>0.63</v>
      </c>
      <c r="F287" s="12">
        <v>50.0</v>
      </c>
      <c r="G287" s="13">
        <v>44462.622677638894</v>
      </c>
      <c r="H287" s="14">
        <f>IFERROR(__xludf.DUMMYFUNCTION("SPLIT(G287, "", "")"),44462.0)</f>
        <v>44462</v>
      </c>
      <c r="I287" s="15">
        <f>IFERROR(__xludf.DUMMYFUNCTION("""COMPUTED_VALUE"""),0.6226736111111111)</f>
        <v>0.6226736111</v>
      </c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12">
        <v>3.41</v>
      </c>
      <c r="B288" s="12">
        <v>226.2</v>
      </c>
      <c r="C288" s="12">
        <v>487.1</v>
      </c>
      <c r="D288" s="12">
        <v>3.16</v>
      </c>
      <c r="E288" s="12">
        <v>0.63</v>
      </c>
      <c r="F288" s="12">
        <v>50.0</v>
      </c>
      <c r="G288" s="13">
        <v>44462.6227760301</v>
      </c>
      <c r="H288" s="14">
        <f>IFERROR(__xludf.DUMMYFUNCTION("SPLIT(G288, "", "")"),44462.0)</f>
        <v>44462</v>
      </c>
      <c r="I288" s="15">
        <f>IFERROR(__xludf.DUMMYFUNCTION("""COMPUTED_VALUE"""),0.6227777777777778)</f>
        <v>0.6227777778</v>
      </c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12">
        <v>3.4</v>
      </c>
      <c r="B289" s="12">
        <v>226.5</v>
      </c>
      <c r="C289" s="12">
        <v>487.2</v>
      </c>
      <c r="D289" s="12">
        <v>3.16</v>
      </c>
      <c r="E289" s="12">
        <v>0.63</v>
      </c>
      <c r="F289" s="12">
        <v>50.0</v>
      </c>
      <c r="G289" s="13">
        <v>44462.62287380787</v>
      </c>
      <c r="H289" s="14">
        <f>IFERROR(__xludf.DUMMYFUNCTION("SPLIT(G289, "", "")"),44462.0)</f>
        <v>44462</v>
      </c>
      <c r="I289" s="15">
        <f>IFERROR(__xludf.DUMMYFUNCTION("""COMPUTED_VALUE"""),0.6228703703703704)</f>
        <v>0.6228703704</v>
      </c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12">
        <v>3.41</v>
      </c>
      <c r="B290" s="12">
        <v>226.5</v>
      </c>
      <c r="C290" s="12">
        <v>487.4</v>
      </c>
      <c r="D290" s="12">
        <v>3.16</v>
      </c>
      <c r="E290" s="12">
        <v>0.63</v>
      </c>
      <c r="F290" s="12">
        <v>50.0</v>
      </c>
      <c r="G290" s="13">
        <v>44462.62297509259</v>
      </c>
      <c r="H290" s="14">
        <f>IFERROR(__xludf.DUMMYFUNCTION("SPLIT(G290, "", "")"),44462.0)</f>
        <v>44462</v>
      </c>
      <c r="I290" s="15">
        <f>IFERROR(__xludf.DUMMYFUNCTION("""COMPUTED_VALUE"""),0.6229745370370371)</f>
        <v>0.622974537</v>
      </c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12">
        <v>3.4</v>
      </c>
      <c r="B291" s="12">
        <v>226.4</v>
      </c>
      <c r="C291" s="12">
        <v>487.3</v>
      </c>
      <c r="D291" s="12">
        <v>3.16</v>
      </c>
      <c r="E291" s="12">
        <v>0.63</v>
      </c>
      <c r="F291" s="12">
        <v>50.0</v>
      </c>
      <c r="G291" s="13">
        <v>44462.62307739584</v>
      </c>
      <c r="H291" s="14">
        <f>IFERROR(__xludf.DUMMYFUNCTION("SPLIT(G291, "", "")"),44462.0)</f>
        <v>44462</v>
      </c>
      <c r="I291" s="15">
        <f>IFERROR(__xludf.DUMMYFUNCTION("""COMPUTED_VALUE"""),0.6230787037037037)</f>
        <v>0.6230787037</v>
      </c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12">
        <v>3.4</v>
      </c>
      <c r="B292" s="12">
        <v>226.6</v>
      </c>
      <c r="C292" s="12">
        <v>487.4</v>
      </c>
      <c r="D292" s="12">
        <v>3.16</v>
      </c>
      <c r="E292" s="12">
        <v>0.63</v>
      </c>
      <c r="F292" s="12">
        <v>49.9</v>
      </c>
      <c r="G292" s="13">
        <v>44462.62317489584</v>
      </c>
      <c r="H292" s="14">
        <f>IFERROR(__xludf.DUMMYFUNCTION("SPLIT(G292, "", "")"),44462.0)</f>
        <v>44462</v>
      </c>
      <c r="I292" s="15">
        <f>IFERROR(__xludf.DUMMYFUNCTION("""COMPUTED_VALUE"""),0.6231712962962963)</f>
        <v>0.6231712963</v>
      </c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12">
        <v>3.4</v>
      </c>
      <c r="B293" s="12">
        <v>226.6</v>
      </c>
      <c r="C293" s="12">
        <v>487.5</v>
      </c>
      <c r="D293" s="12">
        <v>3.16</v>
      </c>
      <c r="E293" s="12">
        <v>0.63</v>
      </c>
      <c r="F293" s="12">
        <v>50.0</v>
      </c>
      <c r="G293" s="13">
        <v>44462.62327079861</v>
      </c>
      <c r="H293" s="14">
        <f>IFERROR(__xludf.DUMMYFUNCTION("SPLIT(G293, "", "")"),44462.0)</f>
        <v>44462</v>
      </c>
      <c r="I293" s="15">
        <f>IFERROR(__xludf.DUMMYFUNCTION("""COMPUTED_VALUE"""),0.623275462962963)</f>
        <v>0.623275463</v>
      </c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12">
        <v>3.41</v>
      </c>
      <c r="B294" s="12">
        <v>226.5</v>
      </c>
      <c r="C294" s="12">
        <v>487.6</v>
      </c>
      <c r="D294" s="12">
        <v>3.16</v>
      </c>
      <c r="E294" s="12">
        <v>0.63</v>
      </c>
      <c r="F294" s="12">
        <v>50.0</v>
      </c>
      <c r="G294" s="13">
        <v>44462.623368368055</v>
      </c>
      <c r="H294" s="14">
        <f>IFERROR(__xludf.DUMMYFUNCTION("SPLIT(G294, "", "")"),44462.0)</f>
        <v>44462</v>
      </c>
      <c r="I294" s="15">
        <f>IFERROR(__xludf.DUMMYFUNCTION("""COMPUTED_VALUE"""),0.6233680555555555)</f>
        <v>0.6233680556</v>
      </c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12">
        <v>3.41</v>
      </c>
      <c r="B295" s="12">
        <v>226.4</v>
      </c>
      <c r="C295" s="12">
        <v>487.6</v>
      </c>
      <c r="D295" s="12">
        <v>3.17</v>
      </c>
      <c r="E295" s="12">
        <v>0.63</v>
      </c>
      <c r="F295" s="12">
        <v>49.9</v>
      </c>
      <c r="G295" s="13">
        <v>44462.62347211805</v>
      </c>
      <c r="H295" s="14">
        <f>IFERROR(__xludf.DUMMYFUNCTION("SPLIT(G295, "", "")"),44462.0)</f>
        <v>44462</v>
      </c>
      <c r="I295" s="15">
        <f>IFERROR(__xludf.DUMMYFUNCTION("""COMPUTED_VALUE"""),0.6234722222222222)</f>
        <v>0.6234722222</v>
      </c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12">
        <v>3.41</v>
      </c>
      <c r="B296" s="12">
        <v>226.4</v>
      </c>
      <c r="C296" s="12">
        <v>487.6</v>
      </c>
      <c r="D296" s="12">
        <v>3.17</v>
      </c>
      <c r="E296" s="12">
        <v>0.63</v>
      </c>
      <c r="F296" s="12">
        <v>49.9</v>
      </c>
      <c r="G296" s="13">
        <v>44462.62357293982</v>
      </c>
      <c r="H296" s="14">
        <f>IFERROR(__xludf.DUMMYFUNCTION("SPLIT(G296, "", "")"),44462.0)</f>
        <v>44462</v>
      </c>
      <c r="I296" s="15">
        <f>IFERROR(__xludf.DUMMYFUNCTION("""COMPUTED_VALUE"""),0.6235763888888889)</f>
        <v>0.6235763889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12">
        <v>3.41</v>
      </c>
      <c r="B297" s="12">
        <v>226.1</v>
      </c>
      <c r="C297" s="12">
        <v>487.6</v>
      </c>
      <c r="D297" s="12">
        <v>3.17</v>
      </c>
      <c r="E297" s="12">
        <v>0.63</v>
      </c>
      <c r="F297" s="12">
        <v>49.9</v>
      </c>
      <c r="G297" s="13">
        <v>44462.62387142361</v>
      </c>
      <c r="H297" s="14">
        <f>IFERROR(__xludf.DUMMYFUNCTION("SPLIT(G297, "", "")"),44462.0)</f>
        <v>44462</v>
      </c>
      <c r="I297" s="15">
        <f>IFERROR(__xludf.DUMMYFUNCTION("""COMPUTED_VALUE"""),0.6238657407407407)</f>
        <v>0.6238657407</v>
      </c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12">
        <v>3.41</v>
      </c>
      <c r="B298" s="12">
        <v>226.2</v>
      </c>
      <c r="C298" s="12">
        <v>487.9</v>
      </c>
      <c r="D298" s="12">
        <v>3.17</v>
      </c>
      <c r="E298" s="12">
        <v>0.63</v>
      </c>
      <c r="F298" s="12">
        <v>50.0</v>
      </c>
      <c r="G298" s="13">
        <v>44462.62398199074</v>
      </c>
      <c r="H298" s="14">
        <f>IFERROR(__xludf.DUMMYFUNCTION("SPLIT(G298, "", "")"),44462.0)</f>
        <v>44462</v>
      </c>
      <c r="I298" s="15">
        <f>IFERROR(__xludf.DUMMYFUNCTION("""COMPUTED_VALUE"""),0.6239814814814815)</f>
        <v>0.6239814815</v>
      </c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12">
        <v>3.41</v>
      </c>
      <c r="B299" s="12">
        <v>226.3</v>
      </c>
      <c r="C299" s="12">
        <v>487.9</v>
      </c>
      <c r="D299" s="12">
        <v>3.17</v>
      </c>
      <c r="E299" s="12">
        <v>0.63</v>
      </c>
      <c r="F299" s="12">
        <v>50.0</v>
      </c>
      <c r="G299" s="13">
        <v>44462.62407989583</v>
      </c>
      <c r="H299" s="14">
        <f>IFERROR(__xludf.DUMMYFUNCTION("SPLIT(G299, "", "")"),44462.0)</f>
        <v>44462</v>
      </c>
      <c r="I299" s="15">
        <f>IFERROR(__xludf.DUMMYFUNCTION("""COMPUTED_VALUE"""),0.6240856481481482)</f>
        <v>0.6240856481</v>
      </c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12">
        <v>3.41</v>
      </c>
      <c r="B300" s="12">
        <v>226.3</v>
      </c>
      <c r="C300" s="12">
        <v>488.0</v>
      </c>
      <c r="D300" s="12">
        <v>3.17</v>
      </c>
      <c r="E300" s="12">
        <v>0.63</v>
      </c>
      <c r="F300" s="12">
        <v>50.0</v>
      </c>
      <c r="G300" s="13">
        <v>44462.62417898148</v>
      </c>
      <c r="H300" s="14">
        <f>IFERROR(__xludf.DUMMYFUNCTION("SPLIT(G300, "", "")"),44462.0)</f>
        <v>44462</v>
      </c>
      <c r="I300" s="15">
        <f>IFERROR(__xludf.DUMMYFUNCTION("""COMPUTED_VALUE"""),0.6241782407407407)</f>
        <v>0.6241782407</v>
      </c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12">
        <v>3.42</v>
      </c>
      <c r="B301" s="12">
        <v>226.3</v>
      </c>
      <c r="C301" s="12">
        <v>488.1</v>
      </c>
      <c r="D301" s="12">
        <v>3.18</v>
      </c>
      <c r="E301" s="12">
        <v>0.63</v>
      </c>
      <c r="F301" s="12">
        <v>50.0</v>
      </c>
      <c r="G301" s="13">
        <v>44462.624281331024</v>
      </c>
      <c r="H301" s="14">
        <f>IFERROR(__xludf.DUMMYFUNCTION("SPLIT(G301, "", "")"),44462.0)</f>
        <v>44462</v>
      </c>
      <c r="I301" s="15">
        <f>IFERROR(__xludf.DUMMYFUNCTION("""COMPUTED_VALUE"""),0.6242824074074074)</f>
        <v>0.6242824074</v>
      </c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12">
        <v>3.42</v>
      </c>
      <c r="B302" s="12">
        <v>226.4</v>
      </c>
      <c r="C302" s="12">
        <v>488.2</v>
      </c>
      <c r="D302" s="12">
        <v>3.18</v>
      </c>
      <c r="E302" s="12">
        <v>0.63</v>
      </c>
      <c r="F302" s="12">
        <v>50.0</v>
      </c>
      <c r="G302" s="13">
        <v>44462.62438608796</v>
      </c>
      <c r="H302" s="14">
        <f>IFERROR(__xludf.DUMMYFUNCTION("SPLIT(G302, "", "")"),44462.0)</f>
        <v>44462</v>
      </c>
      <c r="I302" s="15">
        <f>IFERROR(__xludf.DUMMYFUNCTION("""COMPUTED_VALUE"""),0.624386574074074)</f>
        <v>0.6243865741</v>
      </c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12">
        <v>3.42</v>
      </c>
      <c r="B303" s="12">
        <v>226.4</v>
      </c>
      <c r="C303" s="12">
        <v>488.4</v>
      </c>
      <c r="D303" s="12">
        <v>3.18</v>
      </c>
      <c r="E303" s="12">
        <v>0.63</v>
      </c>
      <c r="F303" s="12">
        <v>50.0</v>
      </c>
      <c r="G303" s="13">
        <v>44462.62448730324</v>
      </c>
      <c r="H303" s="14">
        <f>IFERROR(__xludf.DUMMYFUNCTION("SPLIT(G303, "", "")"),44462.0)</f>
        <v>44462</v>
      </c>
      <c r="I303" s="15">
        <f>IFERROR(__xludf.DUMMYFUNCTION("""COMPUTED_VALUE"""),0.6244907407407407)</f>
        <v>0.6244907407</v>
      </c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12">
        <v>3.41</v>
      </c>
      <c r="B304" s="12">
        <v>226.7</v>
      </c>
      <c r="C304" s="12">
        <v>488.4</v>
      </c>
      <c r="D304" s="12">
        <v>3.18</v>
      </c>
      <c r="E304" s="12">
        <v>0.63</v>
      </c>
      <c r="F304" s="12">
        <v>50.0</v>
      </c>
      <c r="G304" s="13">
        <v>44462.62458606482</v>
      </c>
      <c r="H304" s="14">
        <f>IFERROR(__xludf.DUMMYFUNCTION("SPLIT(G304, "", "")"),44462.0)</f>
        <v>44462</v>
      </c>
      <c r="I304" s="15">
        <f>IFERROR(__xludf.DUMMYFUNCTION("""COMPUTED_VALUE"""),0.6245833333333334)</f>
        <v>0.6245833333</v>
      </c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12">
        <v>3.4</v>
      </c>
      <c r="B305" s="12">
        <v>226.8</v>
      </c>
      <c r="C305" s="12">
        <v>488.5</v>
      </c>
      <c r="D305" s="12">
        <v>3.18</v>
      </c>
      <c r="E305" s="12">
        <v>0.63</v>
      </c>
      <c r="F305" s="12">
        <v>50.0</v>
      </c>
      <c r="G305" s="13">
        <v>44462.62468458334</v>
      </c>
      <c r="H305" s="14">
        <f>IFERROR(__xludf.DUMMYFUNCTION("SPLIT(G305, "", "")"),44462.0)</f>
        <v>44462</v>
      </c>
      <c r="I305" s="15">
        <f>IFERROR(__xludf.DUMMYFUNCTION("""COMPUTED_VALUE"""),0.6246875)</f>
        <v>0.6246875</v>
      </c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12">
        <v>3.4</v>
      </c>
      <c r="B306" s="12">
        <v>226.7</v>
      </c>
      <c r="C306" s="12">
        <v>488.5</v>
      </c>
      <c r="D306" s="12">
        <v>3.18</v>
      </c>
      <c r="E306" s="12">
        <v>0.63</v>
      </c>
      <c r="F306" s="12">
        <v>50.0</v>
      </c>
      <c r="G306" s="13">
        <v>44462.624785231485</v>
      </c>
      <c r="H306" s="14">
        <f>IFERROR(__xludf.DUMMYFUNCTION("SPLIT(G306, "", "")"),44462.0)</f>
        <v>44462</v>
      </c>
      <c r="I306" s="15">
        <f>IFERROR(__xludf.DUMMYFUNCTION("""COMPUTED_VALUE"""),0.6247800925925926)</f>
        <v>0.6247800926</v>
      </c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12">
        <v>3.4</v>
      </c>
      <c r="B307" s="12">
        <v>226.8</v>
      </c>
      <c r="C307" s="12">
        <v>488.6</v>
      </c>
      <c r="D307" s="12">
        <v>3.18</v>
      </c>
      <c r="E307" s="12">
        <v>0.63</v>
      </c>
      <c r="F307" s="12">
        <v>50.0</v>
      </c>
      <c r="G307" s="13">
        <v>44462.62488993055</v>
      </c>
      <c r="H307" s="14">
        <f>IFERROR(__xludf.DUMMYFUNCTION("SPLIT(G307, "", "")"),44462.0)</f>
        <v>44462</v>
      </c>
      <c r="I307" s="15">
        <f>IFERROR(__xludf.DUMMYFUNCTION("""COMPUTED_VALUE"""),0.6248842592592593)</f>
        <v>0.6248842593</v>
      </c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12">
        <v>3.4</v>
      </c>
      <c r="B308" s="12">
        <v>226.8</v>
      </c>
      <c r="C308" s="12">
        <v>488.7</v>
      </c>
      <c r="D308" s="12">
        <v>3.18</v>
      </c>
      <c r="E308" s="12">
        <v>0.63</v>
      </c>
      <c r="F308" s="12">
        <v>50.0</v>
      </c>
      <c r="G308" s="13">
        <v>44462.62499280093</v>
      </c>
      <c r="H308" s="14">
        <f>IFERROR(__xludf.DUMMYFUNCTION("SPLIT(G308, "", "")"),44462.0)</f>
        <v>44462</v>
      </c>
      <c r="I308" s="15">
        <f>IFERROR(__xludf.DUMMYFUNCTION("""COMPUTED_VALUE"""),0.624988425925926)</f>
        <v>0.6249884259</v>
      </c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12">
        <v>3.41</v>
      </c>
      <c r="B309" s="12">
        <v>226.7</v>
      </c>
      <c r="C309" s="12">
        <v>488.7</v>
      </c>
      <c r="D309" s="12">
        <v>3.18</v>
      </c>
      <c r="E309" s="12">
        <v>0.63</v>
      </c>
      <c r="F309" s="12">
        <v>50.0</v>
      </c>
      <c r="G309" s="13">
        <v>44462.62508997685</v>
      </c>
      <c r="H309" s="14">
        <f>IFERROR(__xludf.DUMMYFUNCTION("SPLIT(G309, "", "")"),44462.0)</f>
        <v>44462</v>
      </c>
      <c r="I309" s="15">
        <f>IFERROR(__xludf.DUMMYFUNCTION("""COMPUTED_VALUE"""),0.6250925925925926)</f>
        <v>0.6250925926</v>
      </c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12">
        <v>3.41</v>
      </c>
      <c r="B310" s="12">
        <v>226.6</v>
      </c>
      <c r="C310" s="12">
        <v>488.8</v>
      </c>
      <c r="D310" s="12">
        <v>3.19</v>
      </c>
      <c r="E310" s="12">
        <v>0.63</v>
      </c>
      <c r="F310" s="12">
        <v>50.0</v>
      </c>
      <c r="G310" s="13">
        <v>44462.62518769676</v>
      </c>
      <c r="H310" s="14">
        <f>IFERROR(__xludf.DUMMYFUNCTION("SPLIT(G310, "", "")"),44462.0)</f>
        <v>44462</v>
      </c>
      <c r="I310" s="15">
        <f>IFERROR(__xludf.DUMMYFUNCTION("""COMPUTED_VALUE"""),0.6251851851851852)</f>
        <v>0.6251851852</v>
      </c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12">
        <v>3.42</v>
      </c>
      <c r="B311" s="12">
        <v>226.5</v>
      </c>
      <c r="C311" s="12">
        <v>488.9</v>
      </c>
      <c r="D311" s="12">
        <v>3.19</v>
      </c>
      <c r="E311" s="12">
        <v>0.63</v>
      </c>
      <c r="F311" s="12">
        <v>50.0</v>
      </c>
      <c r="G311" s="13">
        <v>44462.62528620371</v>
      </c>
      <c r="H311" s="14">
        <f>IFERROR(__xludf.DUMMYFUNCTION("SPLIT(G311, "", "")"),44462.0)</f>
        <v>44462</v>
      </c>
      <c r="I311" s="15">
        <f>IFERROR(__xludf.DUMMYFUNCTION("""COMPUTED_VALUE"""),0.6252893518518519)</f>
        <v>0.6252893519</v>
      </c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12">
        <v>3.42</v>
      </c>
      <c r="B312" s="12">
        <v>226.6</v>
      </c>
      <c r="C312" s="12">
        <v>489.0</v>
      </c>
      <c r="D312" s="12">
        <v>3.19</v>
      </c>
      <c r="E312" s="12">
        <v>0.63</v>
      </c>
      <c r="F312" s="12">
        <v>50.0</v>
      </c>
      <c r="G312" s="13">
        <v>44462.62538561343</v>
      </c>
      <c r="H312" s="14">
        <f>IFERROR(__xludf.DUMMYFUNCTION("SPLIT(G312, "", "")"),44462.0)</f>
        <v>44462</v>
      </c>
      <c r="I312" s="15">
        <f>IFERROR(__xludf.DUMMYFUNCTION("""COMPUTED_VALUE"""),0.6253819444444444)</f>
        <v>0.6253819444</v>
      </c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12">
        <v>3.42</v>
      </c>
      <c r="B313" s="12">
        <v>226.7</v>
      </c>
      <c r="C313" s="12">
        <v>489.0</v>
      </c>
      <c r="D313" s="12">
        <v>3.19</v>
      </c>
      <c r="E313" s="12">
        <v>0.63</v>
      </c>
      <c r="F313" s="12">
        <v>50.0</v>
      </c>
      <c r="G313" s="13">
        <v>44462.62548607639</v>
      </c>
      <c r="H313" s="14">
        <f>IFERROR(__xludf.DUMMYFUNCTION("SPLIT(G313, "", "")"),44462.0)</f>
        <v>44462</v>
      </c>
      <c r="I313" s="15">
        <f>IFERROR(__xludf.DUMMYFUNCTION("""COMPUTED_VALUE"""),0.6254861111111111)</f>
        <v>0.6254861111</v>
      </c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12">
        <v>3.42</v>
      </c>
      <c r="B314" s="12">
        <v>226.6</v>
      </c>
      <c r="C314" s="12">
        <v>489.1</v>
      </c>
      <c r="D314" s="12">
        <v>3.19</v>
      </c>
      <c r="E314" s="12">
        <v>0.63</v>
      </c>
      <c r="F314" s="12">
        <v>50.0</v>
      </c>
      <c r="G314" s="13">
        <v>44462.62558342592</v>
      </c>
      <c r="H314" s="14">
        <f>IFERROR(__xludf.DUMMYFUNCTION("SPLIT(G314, "", "")"),44462.0)</f>
        <v>44462</v>
      </c>
      <c r="I314" s="15">
        <f>IFERROR(__xludf.DUMMYFUNCTION("""COMPUTED_VALUE"""),0.6255787037037037)</f>
        <v>0.6255787037</v>
      </c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12">
        <v>3.42</v>
      </c>
      <c r="B315" s="12">
        <v>226.7</v>
      </c>
      <c r="C315" s="12">
        <v>489.1</v>
      </c>
      <c r="D315" s="12">
        <v>3.19</v>
      </c>
      <c r="E315" s="12">
        <v>0.63</v>
      </c>
      <c r="F315" s="12">
        <v>50.0</v>
      </c>
      <c r="G315" s="13">
        <v>44462.625684189814</v>
      </c>
      <c r="H315" s="14">
        <f>IFERROR(__xludf.DUMMYFUNCTION("SPLIT(G315, "", "")"),44462.0)</f>
        <v>44462</v>
      </c>
      <c r="I315" s="15">
        <f>IFERROR(__xludf.DUMMYFUNCTION("""COMPUTED_VALUE"""),0.6256828703703704)</f>
        <v>0.6256828704</v>
      </c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12">
        <v>3.41</v>
      </c>
      <c r="B316" s="12">
        <v>226.6</v>
      </c>
      <c r="C316" s="12">
        <v>489.1</v>
      </c>
      <c r="D316" s="12">
        <v>3.19</v>
      </c>
      <c r="E316" s="12">
        <v>0.63</v>
      </c>
      <c r="F316" s="12">
        <v>50.0</v>
      </c>
      <c r="G316" s="13">
        <v>44462.625781215276</v>
      </c>
      <c r="H316" s="14">
        <f>IFERROR(__xludf.DUMMYFUNCTION("SPLIT(G316, "", "")"),44462.0)</f>
        <v>44462</v>
      </c>
      <c r="I316" s="15">
        <f>IFERROR(__xludf.DUMMYFUNCTION("""COMPUTED_VALUE"""),0.6257754629629629)</f>
        <v>0.625775463</v>
      </c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12">
        <v>3.41</v>
      </c>
      <c r="B317" s="12">
        <v>226.6</v>
      </c>
      <c r="C317" s="12">
        <v>489.3</v>
      </c>
      <c r="D317" s="12">
        <v>3.19</v>
      </c>
      <c r="E317" s="12">
        <v>0.63</v>
      </c>
      <c r="F317" s="12">
        <v>50.0</v>
      </c>
      <c r="G317" s="13">
        <v>44462.62587960648</v>
      </c>
      <c r="H317" s="14">
        <f>IFERROR(__xludf.DUMMYFUNCTION("SPLIT(G317, "", "")"),44462.0)</f>
        <v>44462</v>
      </c>
      <c r="I317" s="15">
        <f>IFERROR(__xludf.DUMMYFUNCTION("""COMPUTED_VALUE"""),0.6258796296296296)</f>
        <v>0.6258796296</v>
      </c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12">
        <v>3.41</v>
      </c>
      <c r="B318" s="12">
        <v>226.5</v>
      </c>
      <c r="C318" s="12">
        <v>489.3</v>
      </c>
      <c r="D318" s="12">
        <v>3.2</v>
      </c>
      <c r="E318" s="12">
        <v>0.63</v>
      </c>
      <c r="F318" s="12">
        <v>50.0</v>
      </c>
      <c r="G318" s="13">
        <v>44462.625978888886</v>
      </c>
      <c r="H318" s="14">
        <f>IFERROR(__xludf.DUMMYFUNCTION("SPLIT(G318, "", "")"),44462.0)</f>
        <v>44462</v>
      </c>
      <c r="I318" s="15">
        <f>IFERROR(__xludf.DUMMYFUNCTION("""COMPUTED_VALUE"""),0.6259837962962963)</f>
        <v>0.6259837963</v>
      </c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12">
        <v>3.41</v>
      </c>
      <c r="B319" s="12">
        <v>226.4</v>
      </c>
      <c r="C319" s="12">
        <v>489.3</v>
      </c>
      <c r="D319" s="12">
        <v>3.2</v>
      </c>
      <c r="E319" s="12">
        <v>0.63</v>
      </c>
      <c r="F319" s="12">
        <v>50.0</v>
      </c>
      <c r="G319" s="13">
        <v>44462.626076053246</v>
      </c>
      <c r="H319" s="14">
        <f>IFERROR(__xludf.DUMMYFUNCTION("SPLIT(G319, "", "")"),44462.0)</f>
        <v>44462</v>
      </c>
      <c r="I319" s="15">
        <f>IFERROR(__xludf.DUMMYFUNCTION("""COMPUTED_VALUE"""),0.6260763888888888)</f>
        <v>0.6260763889</v>
      </c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12">
        <v>3.42</v>
      </c>
      <c r="B320" s="12">
        <v>226.5</v>
      </c>
      <c r="C320" s="12">
        <v>489.4</v>
      </c>
      <c r="D320" s="12">
        <v>3.2</v>
      </c>
      <c r="E320" s="12">
        <v>0.63</v>
      </c>
      <c r="F320" s="12">
        <v>50.0</v>
      </c>
      <c r="G320" s="13">
        <v>44462.62617278935</v>
      </c>
      <c r="H320" s="14">
        <f>IFERROR(__xludf.DUMMYFUNCTION("SPLIT(G320, "", "")"),44462.0)</f>
        <v>44462</v>
      </c>
      <c r="I320" s="15">
        <f>IFERROR(__xludf.DUMMYFUNCTION("""COMPUTED_VALUE"""),0.6261689814814815)</f>
        <v>0.6261689815</v>
      </c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12">
        <v>3.42</v>
      </c>
      <c r="B321" s="12">
        <v>226.5</v>
      </c>
      <c r="C321" s="12">
        <v>489.3</v>
      </c>
      <c r="D321" s="12">
        <v>3.2</v>
      </c>
      <c r="E321" s="12">
        <v>0.63</v>
      </c>
      <c r="F321" s="12">
        <v>50.0</v>
      </c>
      <c r="G321" s="13">
        <v>44462.62626846065</v>
      </c>
      <c r="H321" s="14">
        <f>IFERROR(__xludf.DUMMYFUNCTION("SPLIT(G321, "", "")"),44462.0)</f>
        <v>44462</v>
      </c>
      <c r="I321" s="15">
        <f>IFERROR(__xludf.DUMMYFUNCTION("""COMPUTED_VALUE"""),0.6262731481481482)</f>
        <v>0.6262731481</v>
      </c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12">
        <v>3.42</v>
      </c>
      <c r="B322" s="12">
        <v>226.5</v>
      </c>
      <c r="C322" s="12">
        <v>489.5</v>
      </c>
      <c r="D322" s="12">
        <v>3.2</v>
      </c>
      <c r="E322" s="12">
        <v>0.63</v>
      </c>
      <c r="F322" s="12">
        <v>50.0</v>
      </c>
      <c r="G322" s="13">
        <v>44462.62636821759</v>
      </c>
      <c r="H322" s="14">
        <f>IFERROR(__xludf.DUMMYFUNCTION("SPLIT(G322, "", "")"),44462.0)</f>
        <v>44462</v>
      </c>
      <c r="I322" s="15">
        <f>IFERROR(__xludf.DUMMYFUNCTION("""COMPUTED_VALUE"""),0.6263657407407407)</f>
        <v>0.6263657407</v>
      </c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12">
        <v>3.42</v>
      </c>
      <c r="B323" s="12">
        <v>226.5</v>
      </c>
      <c r="C323" s="12">
        <v>489.6</v>
      </c>
      <c r="D323" s="12">
        <v>3.2</v>
      </c>
      <c r="E323" s="12">
        <v>0.63</v>
      </c>
      <c r="F323" s="12">
        <v>50.0</v>
      </c>
      <c r="G323" s="13">
        <v>44462.62646704861</v>
      </c>
      <c r="H323" s="14">
        <f>IFERROR(__xludf.DUMMYFUNCTION("SPLIT(G323, "", "")"),44462.0)</f>
        <v>44462</v>
      </c>
      <c r="I323" s="15">
        <f>IFERROR(__xludf.DUMMYFUNCTION("""COMPUTED_VALUE"""),0.6264699074074074)</f>
        <v>0.6264699074</v>
      </c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12">
        <v>3.41</v>
      </c>
      <c r="B324" s="12">
        <v>226.5</v>
      </c>
      <c r="C324" s="12">
        <v>489.6</v>
      </c>
      <c r="D324" s="12">
        <v>3.2</v>
      </c>
      <c r="E324" s="12">
        <v>0.63</v>
      </c>
      <c r="F324" s="12">
        <v>50.0</v>
      </c>
      <c r="G324" s="13">
        <v>44462.62656421296</v>
      </c>
      <c r="H324" s="14">
        <f>IFERROR(__xludf.DUMMYFUNCTION("SPLIT(G324, "", "")"),44462.0)</f>
        <v>44462</v>
      </c>
      <c r="I324" s="15">
        <f>IFERROR(__xludf.DUMMYFUNCTION("""COMPUTED_VALUE"""),0.6265625)</f>
        <v>0.6265625</v>
      </c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12">
        <v>3.41</v>
      </c>
      <c r="B325" s="12">
        <v>226.5</v>
      </c>
      <c r="C325" s="12">
        <v>489.6</v>
      </c>
      <c r="D325" s="12">
        <v>3.2</v>
      </c>
      <c r="E325" s="12">
        <v>0.63</v>
      </c>
      <c r="F325" s="12">
        <v>50.0</v>
      </c>
      <c r="G325" s="13">
        <v>44462.626665185184</v>
      </c>
      <c r="H325" s="14">
        <f>IFERROR(__xludf.DUMMYFUNCTION("SPLIT(G325, "", "")"),44462.0)</f>
        <v>44462</v>
      </c>
      <c r="I325" s="15">
        <f>IFERROR(__xludf.DUMMYFUNCTION("""COMPUTED_VALUE"""),0.6266666666666667)</f>
        <v>0.6266666667</v>
      </c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12">
        <v>3.41</v>
      </c>
      <c r="B326" s="12">
        <v>226.6</v>
      </c>
      <c r="C326" s="12">
        <v>489.7</v>
      </c>
      <c r="D326" s="12">
        <v>3.2</v>
      </c>
      <c r="E326" s="12">
        <v>0.63</v>
      </c>
      <c r="F326" s="12">
        <v>50.0</v>
      </c>
      <c r="G326" s="13">
        <v>44462.62676771991</v>
      </c>
      <c r="H326" s="14">
        <f>IFERROR(__xludf.DUMMYFUNCTION("SPLIT(G326, "", "")"),44462.0)</f>
        <v>44462</v>
      </c>
      <c r="I326" s="15">
        <f>IFERROR(__xludf.DUMMYFUNCTION("""COMPUTED_VALUE"""),0.6267708333333334)</f>
        <v>0.6267708333</v>
      </c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12">
        <v>3.41</v>
      </c>
      <c r="B327" s="12">
        <v>226.6</v>
      </c>
      <c r="C327" s="12">
        <v>489.7</v>
      </c>
      <c r="D327" s="12">
        <v>3.21</v>
      </c>
      <c r="E327" s="12">
        <v>0.63</v>
      </c>
      <c r="F327" s="12">
        <v>50.0</v>
      </c>
      <c r="G327" s="13">
        <v>44462.62686560185</v>
      </c>
      <c r="H327" s="14">
        <f>IFERROR(__xludf.DUMMYFUNCTION("SPLIT(G327, "", "")"),44462.0)</f>
        <v>44462</v>
      </c>
      <c r="I327" s="15">
        <f>IFERROR(__xludf.DUMMYFUNCTION("""COMPUTED_VALUE"""),0.6268634259259259)</f>
        <v>0.6268634259</v>
      </c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12">
        <v>3.41</v>
      </c>
      <c r="B328" s="12">
        <v>226.6</v>
      </c>
      <c r="C328" s="12">
        <v>489.9</v>
      </c>
      <c r="D328" s="12">
        <v>3.21</v>
      </c>
      <c r="E328" s="12">
        <v>0.63</v>
      </c>
      <c r="F328" s="12">
        <v>50.0</v>
      </c>
      <c r="G328" s="13">
        <v>44462.626962395836</v>
      </c>
      <c r="H328" s="14">
        <f>IFERROR(__xludf.DUMMYFUNCTION("SPLIT(G328, "", "")"),44462.0)</f>
        <v>44462</v>
      </c>
      <c r="I328" s="15">
        <f>IFERROR(__xludf.DUMMYFUNCTION("""COMPUTED_VALUE"""),0.6269675925925926)</f>
        <v>0.6269675926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12">
        <v>3.42</v>
      </c>
      <c r="B329" s="12">
        <v>226.6</v>
      </c>
      <c r="C329" s="12">
        <v>489.9</v>
      </c>
      <c r="D329" s="12">
        <v>3.21</v>
      </c>
      <c r="E329" s="12">
        <v>0.63</v>
      </c>
      <c r="F329" s="12">
        <v>50.0</v>
      </c>
      <c r="G329" s="13">
        <v>44462.62705928241</v>
      </c>
      <c r="H329" s="14">
        <f>IFERROR(__xludf.DUMMYFUNCTION("SPLIT(G329, "", "")"),44462.0)</f>
        <v>44462</v>
      </c>
      <c r="I329" s="15">
        <f>IFERROR(__xludf.DUMMYFUNCTION("""COMPUTED_VALUE"""),0.6270601851851851)</f>
        <v>0.6270601852</v>
      </c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12">
        <v>3.41</v>
      </c>
      <c r="B330" s="12">
        <v>226.7</v>
      </c>
      <c r="C330" s="12">
        <v>489.9</v>
      </c>
      <c r="D330" s="12">
        <v>3.21</v>
      </c>
      <c r="E330" s="12">
        <v>0.63</v>
      </c>
      <c r="F330" s="12">
        <v>50.0</v>
      </c>
      <c r="G330" s="13">
        <v>44462.62715650463</v>
      </c>
      <c r="H330" s="14">
        <f>IFERROR(__xludf.DUMMYFUNCTION("SPLIT(G330, "", "")"),44462.0)</f>
        <v>44462</v>
      </c>
      <c r="I330" s="15">
        <f>IFERROR(__xludf.DUMMYFUNCTION("""COMPUTED_VALUE"""),0.6271527777777778)</f>
        <v>0.6271527778</v>
      </c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12">
        <v>3.41</v>
      </c>
      <c r="B331" s="12">
        <v>226.6</v>
      </c>
      <c r="C331" s="12">
        <v>490.0</v>
      </c>
      <c r="D331" s="12">
        <v>3.21</v>
      </c>
      <c r="E331" s="12">
        <v>0.63</v>
      </c>
      <c r="F331" s="12">
        <v>50.0</v>
      </c>
      <c r="G331" s="13">
        <v>44462.62725884259</v>
      </c>
      <c r="H331" s="14">
        <f>IFERROR(__xludf.DUMMYFUNCTION("SPLIT(G331, "", "")"),44462.0)</f>
        <v>44462</v>
      </c>
      <c r="I331" s="15">
        <f>IFERROR(__xludf.DUMMYFUNCTION("""COMPUTED_VALUE"""),0.6272569444444445)</f>
        <v>0.6272569444</v>
      </c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12">
        <v>3.41</v>
      </c>
      <c r="B332" s="12">
        <v>226.6</v>
      </c>
      <c r="C332" s="12">
        <v>490.0</v>
      </c>
      <c r="D332" s="12">
        <v>3.21</v>
      </c>
      <c r="E332" s="12">
        <v>0.63</v>
      </c>
      <c r="F332" s="12">
        <v>50.0</v>
      </c>
      <c r="G332" s="13">
        <v>44462.627361527775</v>
      </c>
      <c r="H332" s="14">
        <f>IFERROR(__xludf.DUMMYFUNCTION("SPLIT(G332, "", "")"),44462.0)</f>
        <v>44462</v>
      </c>
      <c r="I332" s="15">
        <f>IFERROR(__xludf.DUMMYFUNCTION("""COMPUTED_VALUE"""),0.6273611111111111)</f>
        <v>0.6273611111</v>
      </c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12">
        <v>3.41</v>
      </c>
      <c r="B333" s="12">
        <v>226.6</v>
      </c>
      <c r="C333" s="12">
        <v>490.1</v>
      </c>
      <c r="D333" s="12">
        <v>3.21</v>
      </c>
      <c r="E333" s="12">
        <v>0.63</v>
      </c>
      <c r="F333" s="12">
        <v>50.0</v>
      </c>
      <c r="G333" s="13">
        <v>44462.62745976852</v>
      </c>
      <c r="H333" s="14">
        <f>IFERROR(__xludf.DUMMYFUNCTION("SPLIT(G333, "", "")"),44462.0)</f>
        <v>44462</v>
      </c>
      <c r="I333" s="15">
        <f>IFERROR(__xludf.DUMMYFUNCTION("""COMPUTED_VALUE"""),0.6274652777777778)</f>
        <v>0.6274652778</v>
      </c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12">
        <v>3.41</v>
      </c>
      <c r="B334" s="12">
        <v>226.7</v>
      </c>
      <c r="C334" s="12">
        <v>490.2</v>
      </c>
      <c r="D334" s="12">
        <v>3.21</v>
      </c>
      <c r="E334" s="12">
        <v>0.63</v>
      </c>
      <c r="F334" s="12">
        <v>50.0</v>
      </c>
      <c r="G334" s="13">
        <v>44462.62755900463</v>
      </c>
      <c r="H334" s="14">
        <f>IFERROR(__xludf.DUMMYFUNCTION("SPLIT(G334, "", "")"),44462.0)</f>
        <v>44462</v>
      </c>
      <c r="I334" s="15">
        <f>IFERROR(__xludf.DUMMYFUNCTION("""COMPUTED_VALUE"""),0.6275578703703704)</f>
        <v>0.6275578704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12">
        <v>3.41</v>
      </c>
      <c r="B335" s="12">
        <v>226.7</v>
      </c>
      <c r="C335" s="12">
        <v>490.2</v>
      </c>
      <c r="D335" s="12">
        <v>3.22</v>
      </c>
      <c r="E335" s="12">
        <v>0.63</v>
      </c>
      <c r="F335" s="12">
        <v>50.0</v>
      </c>
      <c r="G335" s="13">
        <v>44462.627659351856</v>
      </c>
      <c r="H335" s="14">
        <f>IFERROR(__xludf.DUMMYFUNCTION("SPLIT(G335, "", "")"),44462.0)</f>
        <v>44462</v>
      </c>
      <c r="I335" s="15">
        <f>IFERROR(__xludf.DUMMYFUNCTION("""COMPUTED_VALUE"""),0.627662037037037)</f>
        <v>0.627662037</v>
      </c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12">
        <v>3.42</v>
      </c>
      <c r="B336" s="12">
        <v>226.7</v>
      </c>
      <c r="C336" s="12">
        <v>490.2</v>
      </c>
      <c r="D336" s="12">
        <v>3.22</v>
      </c>
      <c r="E336" s="12">
        <v>0.63</v>
      </c>
      <c r="F336" s="12">
        <v>50.0</v>
      </c>
      <c r="G336" s="13">
        <v>44462.627762777774</v>
      </c>
      <c r="H336" s="14">
        <f>IFERROR(__xludf.DUMMYFUNCTION("SPLIT(G336, "", "")"),44462.0)</f>
        <v>44462</v>
      </c>
      <c r="I336" s="15">
        <f>IFERROR(__xludf.DUMMYFUNCTION("""COMPUTED_VALUE"""),0.6277662037037037)</f>
        <v>0.6277662037</v>
      </c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12">
        <v>3.41</v>
      </c>
      <c r="B337" s="12">
        <v>226.6</v>
      </c>
      <c r="C337" s="12">
        <v>490.3</v>
      </c>
      <c r="D337" s="12">
        <v>3.22</v>
      </c>
      <c r="E337" s="12">
        <v>0.63</v>
      </c>
      <c r="F337" s="12">
        <v>50.0</v>
      </c>
      <c r="G337" s="13">
        <v>44462.62786072917</v>
      </c>
      <c r="H337" s="14">
        <f>IFERROR(__xludf.DUMMYFUNCTION("SPLIT(G337, "", "")"),44462.0)</f>
        <v>44462</v>
      </c>
      <c r="I337" s="15">
        <f>IFERROR(__xludf.DUMMYFUNCTION("""COMPUTED_VALUE"""),0.6278587962962963)</f>
        <v>0.6278587963</v>
      </c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12">
        <v>3.42</v>
      </c>
      <c r="B338" s="12">
        <v>226.6</v>
      </c>
      <c r="C338" s="12">
        <v>490.4</v>
      </c>
      <c r="D338" s="12">
        <v>3.22</v>
      </c>
      <c r="E338" s="12">
        <v>0.63</v>
      </c>
      <c r="F338" s="12">
        <v>50.0</v>
      </c>
      <c r="G338" s="13">
        <v>44462.627961122686</v>
      </c>
      <c r="H338" s="14">
        <f>IFERROR(__xludf.DUMMYFUNCTION("SPLIT(G338, "", "")"),44462.0)</f>
        <v>44462</v>
      </c>
      <c r="I338" s="15">
        <f>IFERROR(__xludf.DUMMYFUNCTION("""COMPUTED_VALUE"""),0.627962962962963)</f>
        <v>0.627962963</v>
      </c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12">
        <v>3.42</v>
      </c>
      <c r="B339" s="12">
        <v>226.6</v>
      </c>
      <c r="C339" s="12">
        <v>490.6</v>
      </c>
      <c r="D339" s="12">
        <v>3.22</v>
      </c>
      <c r="E339" s="12">
        <v>0.63</v>
      </c>
      <c r="F339" s="12">
        <v>49.9</v>
      </c>
      <c r="G339" s="13">
        <v>44462.62806319444</v>
      </c>
      <c r="H339" s="14">
        <f>IFERROR(__xludf.DUMMYFUNCTION("SPLIT(G339, "", "")"),44462.0)</f>
        <v>44462</v>
      </c>
      <c r="I339" s="15">
        <f>IFERROR(__xludf.DUMMYFUNCTION("""COMPUTED_VALUE"""),0.6280671296296296)</f>
        <v>0.6280671296</v>
      </c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12">
        <v>3.42</v>
      </c>
      <c r="B340" s="12">
        <v>226.7</v>
      </c>
      <c r="C340" s="12">
        <v>490.6</v>
      </c>
      <c r="D340" s="12">
        <v>3.22</v>
      </c>
      <c r="E340" s="12">
        <v>0.63</v>
      </c>
      <c r="F340" s="12">
        <v>49.9</v>
      </c>
      <c r="G340" s="13">
        <v>44462.62816097222</v>
      </c>
      <c r="H340" s="14">
        <f>IFERROR(__xludf.DUMMYFUNCTION("SPLIT(G340, "", "")"),44462.0)</f>
        <v>44462</v>
      </c>
      <c r="I340" s="15">
        <f>IFERROR(__xludf.DUMMYFUNCTION("""COMPUTED_VALUE"""),0.6281597222222223)</f>
        <v>0.6281597222</v>
      </c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12">
        <v>3.42</v>
      </c>
      <c r="B341" s="12">
        <v>226.7</v>
      </c>
      <c r="C341" s="12">
        <v>490.7</v>
      </c>
      <c r="D341" s="12">
        <v>3.22</v>
      </c>
      <c r="E341" s="12">
        <v>0.63</v>
      </c>
      <c r="F341" s="12">
        <v>49.9</v>
      </c>
      <c r="G341" s="13">
        <v>44462.62825780093</v>
      </c>
      <c r="H341" s="14">
        <f>IFERROR(__xludf.DUMMYFUNCTION("SPLIT(G341, "", "")"),44462.0)</f>
        <v>44462</v>
      </c>
      <c r="I341" s="15">
        <f>IFERROR(__xludf.DUMMYFUNCTION("""COMPUTED_VALUE"""),0.6282523148148148)</f>
        <v>0.6282523148</v>
      </c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12">
        <v>3.42</v>
      </c>
      <c r="B342" s="12">
        <v>226.6</v>
      </c>
      <c r="C342" s="12">
        <v>490.7</v>
      </c>
      <c r="D342" s="12">
        <v>3.22</v>
      </c>
      <c r="E342" s="12">
        <v>0.63</v>
      </c>
      <c r="F342" s="12">
        <v>50.0</v>
      </c>
      <c r="G342" s="13">
        <v>44462.62836423611</v>
      </c>
      <c r="H342" s="14">
        <f>IFERROR(__xludf.DUMMYFUNCTION("SPLIT(G342, "", "")"),44462.0)</f>
        <v>44462</v>
      </c>
      <c r="I342" s="15">
        <f>IFERROR(__xludf.DUMMYFUNCTION("""COMPUTED_VALUE"""),0.6283680555555555)</f>
        <v>0.6283680556</v>
      </c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12">
        <v>3.43</v>
      </c>
      <c r="B343" s="12">
        <v>226.6</v>
      </c>
      <c r="C343" s="12">
        <v>490.8</v>
      </c>
      <c r="D343" s="12">
        <v>3.22</v>
      </c>
      <c r="E343" s="12">
        <v>0.63</v>
      </c>
      <c r="F343" s="12">
        <v>50.0</v>
      </c>
      <c r="G343" s="13">
        <v>44462.62846620371</v>
      </c>
      <c r="H343" s="14">
        <f>IFERROR(__xludf.DUMMYFUNCTION("SPLIT(G343, "", "")"),44462.0)</f>
        <v>44462</v>
      </c>
      <c r="I343" s="15">
        <f>IFERROR(__xludf.DUMMYFUNCTION("""COMPUTED_VALUE"""),0.6284606481481482)</f>
        <v>0.6284606481</v>
      </c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12">
        <v>3.44</v>
      </c>
      <c r="B344" s="12">
        <v>225.1</v>
      </c>
      <c r="C344" s="12">
        <v>490.3</v>
      </c>
      <c r="D344" s="12">
        <v>3.23</v>
      </c>
      <c r="E344" s="12">
        <v>0.63</v>
      </c>
      <c r="F344" s="12">
        <v>50.0</v>
      </c>
      <c r="G344" s="13">
        <v>44462.62856386574</v>
      </c>
      <c r="H344" s="14">
        <f>IFERROR(__xludf.DUMMYFUNCTION("SPLIT(G344, "", "")"),44462.0)</f>
        <v>44462</v>
      </c>
      <c r="I344" s="15">
        <f>IFERROR(__xludf.DUMMYFUNCTION("""COMPUTED_VALUE"""),0.6285648148148149)</f>
        <v>0.6285648148</v>
      </c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12">
        <v>3.43</v>
      </c>
      <c r="B345" s="12">
        <v>226.5</v>
      </c>
      <c r="C345" s="12">
        <v>490.8</v>
      </c>
      <c r="D345" s="12">
        <v>3.23</v>
      </c>
      <c r="E345" s="12">
        <v>0.63</v>
      </c>
      <c r="F345" s="12">
        <v>50.0</v>
      </c>
      <c r="G345" s="13">
        <v>44462.628660601855</v>
      </c>
      <c r="H345" s="14">
        <f>IFERROR(__xludf.DUMMYFUNCTION("SPLIT(G345, "", "")"),44462.0)</f>
        <v>44462</v>
      </c>
      <c r="I345" s="15">
        <f>IFERROR(__xludf.DUMMYFUNCTION("""COMPUTED_VALUE"""),0.6286574074074074)</f>
        <v>0.6286574074</v>
      </c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12">
        <v>3.43</v>
      </c>
      <c r="B346" s="12">
        <v>226.5</v>
      </c>
      <c r="C346" s="12">
        <v>490.9</v>
      </c>
      <c r="D346" s="12">
        <v>3.23</v>
      </c>
      <c r="E346" s="12">
        <v>0.63</v>
      </c>
      <c r="F346" s="12">
        <v>50.0</v>
      </c>
      <c r="G346" s="13">
        <v>44462.628758645835</v>
      </c>
      <c r="H346" s="14">
        <f>IFERROR(__xludf.DUMMYFUNCTION("SPLIT(G346, "", "")"),44462.0)</f>
        <v>44462</v>
      </c>
      <c r="I346" s="15">
        <f>IFERROR(__xludf.DUMMYFUNCTION("""COMPUTED_VALUE"""),0.6287615740740741)</f>
        <v>0.6287615741</v>
      </c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12">
        <v>3.43</v>
      </c>
      <c r="B347" s="12">
        <v>226.7</v>
      </c>
      <c r="C347" s="12">
        <v>491.0</v>
      </c>
      <c r="D347" s="12">
        <v>3.23</v>
      </c>
      <c r="E347" s="12">
        <v>0.63</v>
      </c>
      <c r="F347" s="12">
        <v>50.0</v>
      </c>
      <c r="G347" s="13">
        <v>44462.628860069446</v>
      </c>
      <c r="H347" s="14">
        <f>IFERROR(__xludf.DUMMYFUNCTION("SPLIT(G347, "", "")"),44462.0)</f>
        <v>44462</v>
      </c>
      <c r="I347" s="15">
        <f>IFERROR(__xludf.DUMMYFUNCTION("""COMPUTED_VALUE"""),0.6288657407407408)</f>
        <v>0.6288657407</v>
      </c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12">
        <v>3.43</v>
      </c>
      <c r="B348" s="12">
        <v>226.8</v>
      </c>
      <c r="C348" s="12">
        <v>491.0</v>
      </c>
      <c r="D348" s="12">
        <v>3.23</v>
      </c>
      <c r="E348" s="12">
        <v>0.63</v>
      </c>
      <c r="F348" s="12">
        <v>50.0</v>
      </c>
      <c r="G348" s="13">
        <v>44462.62896423611</v>
      </c>
      <c r="H348" s="14">
        <f>IFERROR(__xludf.DUMMYFUNCTION("SPLIT(G348, "", "")"),44462.0)</f>
        <v>44462</v>
      </c>
      <c r="I348" s="15">
        <f>IFERROR(__xludf.DUMMYFUNCTION("""COMPUTED_VALUE"""),0.6289699074074074)</f>
        <v>0.6289699074</v>
      </c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12">
        <v>3.43</v>
      </c>
      <c r="B349" s="12">
        <v>226.6</v>
      </c>
      <c r="C349" s="12">
        <v>491.1</v>
      </c>
      <c r="D349" s="12">
        <v>3.23</v>
      </c>
      <c r="E349" s="12">
        <v>0.63</v>
      </c>
      <c r="F349" s="12">
        <v>50.0</v>
      </c>
      <c r="G349" s="13">
        <v>44462.629061643514</v>
      </c>
      <c r="H349" s="14">
        <f>IFERROR(__xludf.DUMMYFUNCTION("SPLIT(G349, "", "")"),44462.0)</f>
        <v>44462</v>
      </c>
      <c r="I349" s="15">
        <f>IFERROR(__xludf.DUMMYFUNCTION("""COMPUTED_VALUE"""),0.6290625)</f>
        <v>0.6290625</v>
      </c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12">
        <v>3.43</v>
      </c>
      <c r="B350" s="12">
        <v>226.7</v>
      </c>
      <c r="C350" s="12">
        <v>491.2</v>
      </c>
      <c r="D350" s="12">
        <v>3.23</v>
      </c>
      <c r="E350" s="12">
        <v>0.63</v>
      </c>
      <c r="F350" s="12">
        <v>50.0</v>
      </c>
      <c r="G350" s="13">
        <v>44462.629160509256</v>
      </c>
      <c r="H350" s="14">
        <f>IFERROR(__xludf.DUMMYFUNCTION("SPLIT(G350, "", "")"),44462.0)</f>
        <v>44462</v>
      </c>
      <c r="I350" s="15">
        <f>IFERROR(__xludf.DUMMYFUNCTION("""COMPUTED_VALUE"""),0.6291550925925926)</f>
        <v>0.6291550926</v>
      </c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12">
        <v>3.43</v>
      </c>
      <c r="B351" s="12">
        <v>226.8</v>
      </c>
      <c r="C351" s="12">
        <v>491.3</v>
      </c>
      <c r="D351" s="12">
        <v>3.23</v>
      </c>
      <c r="E351" s="12">
        <v>0.63</v>
      </c>
      <c r="F351" s="12">
        <v>50.0</v>
      </c>
      <c r="G351" s="13">
        <v>44462.62926090277</v>
      </c>
      <c r="H351" s="14">
        <f>IFERROR(__xludf.DUMMYFUNCTION("SPLIT(G351, "", "")"),44462.0)</f>
        <v>44462</v>
      </c>
      <c r="I351" s="15">
        <f>IFERROR(__xludf.DUMMYFUNCTION("""COMPUTED_VALUE"""),0.6292592592592593)</f>
        <v>0.6292592593</v>
      </c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12">
        <v>3.43</v>
      </c>
      <c r="B352" s="12">
        <v>226.7</v>
      </c>
      <c r="C352" s="12">
        <v>491.3</v>
      </c>
      <c r="D352" s="12">
        <v>3.24</v>
      </c>
      <c r="E352" s="12">
        <v>0.63</v>
      </c>
      <c r="F352" s="12">
        <v>50.0</v>
      </c>
      <c r="G352" s="13">
        <v>44462.629365706016</v>
      </c>
      <c r="H352" s="14">
        <f>IFERROR(__xludf.DUMMYFUNCTION("SPLIT(G352, "", "")"),44462.0)</f>
        <v>44462</v>
      </c>
      <c r="I352" s="15">
        <f>IFERROR(__xludf.DUMMYFUNCTION("""COMPUTED_VALUE"""),0.629363425925926)</f>
        <v>0.6293634259</v>
      </c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12">
        <v>3.43</v>
      </c>
      <c r="B353" s="12">
        <v>226.7</v>
      </c>
      <c r="C353" s="12">
        <v>491.3</v>
      </c>
      <c r="D353" s="12">
        <v>3.24</v>
      </c>
      <c r="E353" s="12">
        <v>0.63</v>
      </c>
      <c r="F353" s="12">
        <v>49.9</v>
      </c>
      <c r="G353" s="13">
        <v>44462.62946489583</v>
      </c>
      <c r="H353" s="14">
        <f>IFERROR(__xludf.DUMMYFUNCTION("SPLIT(G353, "", "")"),44462.0)</f>
        <v>44462</v>
      </c>
      <c r="I353" s="15">
        <f>IFERROR(__xludf.DUMMYFUNCTION("""COMPUTED_VALUE"""),0.6294675925925926)</f>
        <v>0.6294675926</v>
      </c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12">
        <v>3.45</v>
      </c>
      <c r="B354" s="12">
        <v>226.4</v>
      </c>
      <c r="C354" s="12">
        <v>491.5</v>
      </c>
      <c r="D354" s="12">
        <v>3.24</v>
      </c>
      <c r="E354" s="12">
        <v>0.63</v>
      </c>
      <c r="F354" s="12">
        <v>50.0</v>
      </c>
      <c r="G354" s="13">
        <v>44462.62956148148</v>
      </c>
      <c r="H354" s="14">
        <f>IFERROR(__xludf.DUMMYFUNCTION("SPLIT(G354, "", "")"),44462.0)</f>
        <v>44462</v>
      </c>
      <c r="I354" s="15">
        <f>IFERROR(__xludf.DUMMYFUNCTION("""COMPUTED_VALUE"""),0.6295601851851852)</f>
        <v>0.6295601852</v>
      </c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12">
        <v>3.44</v>
      </c>
      <c r="B355" s="12">
        <v>226.6</v>
      </c>
      <c r="C355" s="12">
        <v>491.4</v>
      </c>
      <c r="D355" s="12">
        <v>3.24</v>
      </c>
      <c r="E355" s="12">
        <v>0.63</v>
      </c>
      <c r="F355" s="12">
        <v>50.0</v>
      </c>
      <c r="G355" s="13">
        <v>44462.62966199074</v>
      </c>
      <c r="H355" s="14">
        <f>IFERROR(__xludf.DUMMYFUNCTION("SPLIT(G355, "", "")"),44462.0)</f>
        <v>44462</v>
      </c>
      <c r="I355" s="15">
        <f>IFERROR(__xludf.DUMMYFUNCTION("""COMPUTED_VALUE"""),0.6296643518518519)</f>
        <v>0.6296643519</v>
      </c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12">
        <v>3.44</v>
      </c>
      <c r="B356" s="12">
        <v>226.3</v>
      </c>
      <c r="C356" s="12">
        <v>491.5</v>
      </c>
      <c r="D356" s="12">
        <v>3.24</v>
      </c>
      <c r="E356" s="12">
        <v>0.63</v>
      </c>
      <c r="F356" s="12">
        <v>50.0</v>
      </c>
      <c r="G356" s="13">
        <v>44462.62976811343</v>
      </c>
      <c r="H356" s="14">
        <f>IFERROR(__xludf.DUMMYFUNCTION("SPLIT(G356, "", "")"),44462.0)</f>
        <v>44462</v>
      </c>
      <c r="I356" s="15">
        <f>IFERROR(__xludf.DUMMYFUNCTION("""COMPUTED_VALUE"""),0.6297685185185186)</f>
        <v>0.6297685185</v>
      </c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12">
        <v>3.44</v>
      </c>
      <c r="B357" s="12">
        <v>226.4</v>
      </c>
      <c r="C357" s="12">
        <v>491.5</v>
      </c>
      <c r="D357" s="12">
        <v>3.24</v>
      </c>
      <c r="E357" s="12">
        <v>0.63</v>
      </c>
      <c r="F357" s="12">
        <v>50.0</v>
      </c>
      <c r="G357" s="13">
        <v>44462.62987304398</v>
      </c>
      <c r="H357" s="14">
        <f>IFERROR(__xludf.DUMMYFUNCTION("SPLIT(G357, "", "")"),44462.0)</f>
        <v>44462</v>
      </c>
      <c r="I357" s="15">
        <f>IFERROR(__xludf.DUMMYFUNCTION("""COMPUTED_VALUE"""),0.6298726851851851)</f>
        <v>0.6298726852</v>
      </c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12">
        <v>3.45</v>
      </c>
      <c r="B358" s="12">
        <v>226.4</v>
      </c>
      <c r="C358" s="12">
        <v>491.7</v>
      </c>
      <c r="D358" s="12">
        <v>3.24</v>
      </c>
      <c r="E358" s="12">
        <v>0.63</v>
      </c>
      <c r="F358" s="12">
        <v>50.0</v>
      </c>
      <c r="G358" s="13">
        <v>44462.62997202546</v>
      </c>
      <c r="H358" s="14">
        <f>IFERROR(__xludf.DUMMYFUNCTION("SPLIT(G358, "", "")"),44462.0)</f>
        <v>44462</v>
      </c>
      <c r="I358" s="15">
        <f>IFERROR(__xludf.DUMMYFUNCTION("""COMPUTED_VALUE"""),0.6299768518518518)</f>
        <v>0.6299768519</v>
      </c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12">
        <v>3.45</v>
      </c>
      <c r="B359" s="12">
        <v>226.2</v>
      </c>
      <c r="C359" s="12">
        <v>491.6</v>
      </c>
      <c r="D359" s="12">
        <v>3.24</v>
      </c>
      <c r="E359" s="12">
        <v>0.63</v>
      </c>
      <c r="F359" s="12">
        <v>50.0</v>
      </c>
      <c r="G359" s="13">
        <v>44462.630072685184</v>
      </c>
      <c r="H359" s="14">
        <f>IFERROR(__xludf.DUMMYFUNCTION("SPLIT(G359, "", "")"),44462.0)</f>
        <v>44462</v>
      </c>
      <c r="I359" s="15">
        <f>IFERROR(__xludf.DUMMYFUNCTION("""COMPUTED_VALUE"""),0.6300694444444445)</f>
        <v>0.6300694444</v>
      </c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12">
        <v>3.44</v>
      </c>
      <c r="B360" s="12">
        <v>226.4</v>
      </c>
      <c r="C360" s="12">
        <v>491.7</v>
      </c>
      <c r="D360" s="12">
        <v>3.24</v>
      </c>
      <c r="E360" s="12">
        <v>0.63</v>
      </c>
      <c r="F360" s="12">
        <v>50.0</v>
      </c>
      <c r="G360" s="13">
        <v>44462.63017087963</v>
      </c>
      <c r="H360" s="14">
        <f>IFERROR(__xludf.DUMMYFUNCTION("SPLIT(G360, "", "")"),44462.0)</f>
        <v>44462</v>
      </c>
      <c r="I360" s="15">
        <f>IFERROR(__xludf.DUMMYFUNCTION("""COMPUTED_VALUE"""),0.6301736111111111)</f>
        <v>0.6301736111</v>
      </c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12">
        <v>3.44</v>
      </c>
      <c r="B361" s="12">
        <v>226.6</v>
      </c>
      <c r="C361" s="12">
        <v>491.7</v>
      </c>
      <c r="D361" s="12">
        <v>3.25</v>
      </c>
      <c r="E361" s="12">
        <v>0.63</v>
      </c>
      <c r="F361" s="12">
        <v>50.0</v>
      </c>
      <c r="G361" s="13">
        <v>44462.63026802083</v>
      </c>
      <c r="H361" s="14">
        <f>IFERROR(__xludf.DUMMYFUNCTION("SPLIT(G361, "", "")"),44462.0)</f>
        <v>44462</v>
      </c>
      <c r="I361" s="15">
        <f>IFERROR(__xludf.DUMMYFUNCTION("""COMPUTED_VALUE"""),0.6302662037037037)</f>
        <v>0.6302662037</v>
      </c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12">
        <v>3.44</v>
      </c>
      <c r="B362" s="12">
        <v>226.6</v>
      </c>
      <c r="C362" s="12">
        <v>491.9</v>
      </c>
      <c r="D362" s="12">
        <v>3.25</v>
      </c>
      <c r="E362" s="12">
        <v>0.63</v>
      </c>
      <c r="F362" s="12">
        <v>50.0</v>
      </c>
      <c r="G362" s="13">
        <v>44462.63037090278</v>
      </c>
      <c r="H362" s="14">
        <f>IFERROR(__xludf.DUMMYFUNCTION("SPLIT(G362, "", "")"),44462.0)</f>
        <v>44462</v>
      </c>
      <c r="I362" s="15">
        <f>IFERROR(__xludf.DUMMYFUNCTION("""COMPUTED_VALUE"""),0.6303703703703704)</f>
        <v>0.6303703704</v>
      </c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12">
        <v>3.44</v>
      </c>
      <c r="B363" s="12">
        <v>226.5</v>
      </c>
      <c r="C363" s="12">
        <v>491.9</v>
      </c>
      <c r="D363" s="12">
        <v>3.25</v>
      </c>
      <c r="E363" s="12">
        <v>0.63</v>
      </c>
      <c r="F363" s="12">
        <v>50.0</v>
      </c>
      <c r="G363" s="13">
        <v>44462.63047379629</v>
      </c>
      <c r="H363" s="14">
        <f>IFERROR(__xludf.DUMMYFUNCTION("SPLIT(G363, "", "")"),44462.0)</f>
        <v>44462</v>
      </c>
      <c r="I363" s="15">
        <f>IFERROR(__xludf.DUMMYFUNCTION("""COMPUTED_VALUE"""),0.630474537037037)</f>
        <v>0.630474537</v>
      </c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12">
        <v>3.43</v>
      </c>
      <c r="B364" s="12">
        <v>226.8</v>
      </c>
      <c r="C364" s="12">
        <v>491.9</v>
      </c>
      <c r="D364" s="12">
        <v>3.25</v>
      </c>
      <c r="E364" s="12">
        <v>0.63</v>
      </c>
      <c r="F364" s="12">
        <v>50.0</v>
      </c>
      <c r="G364" s="13">
        <v>44462.63057201389</v>
      </c>
      <c r="H364" s="14">
        <f>IFERROR(__xludf.DUMMYFUNCTION("SPLIT(G364, "", "")"),44462.0)</f>
        <v>44462</v>
      </c>
      <c r="I364" s="15">
        <f>IFERROR(__xludf.DUMMYFUNCTION("""COMPUTED_VALUE"""),0.6305671296296296)</f>
        <v>0.6305671296</v>
      </c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12">
        <v>3.42</v>
      </c>
      <c r="B365" s="12">
        <v>226.9</v>
      </c>
      <c r="C365" s="12">
        <v>491.9</v>
      </c>
      <c r="D365" s="12">
        <v>3.25</v>
      </c>
      <c r="E365" s="12">
        <v>0.63</v>
      </c>
      <c r="F365" s="12">
        <v>50.0</v>
      </c>
      <c r="G365" s="13">
        <v>44462.63067167824</v>
      </c>
      <c r="H365" s="14">
        <f>IFERROR(__xludf.DUMMYFUNCTION("SPLIT(G365, "", "")"),44462.0)</f>
        <v>44462</v>
      </c>
      <c r="I365" s="15">
        <f>IFERROR(__xludf.DUMMYFUNCTION("""COMPUTED_VALUE"""),0.6306712962962963)</f>
        <v>0.6306712963</v>
      </c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12">
        <v>3.42</v>
      </c>
      <c r="B366" s="12">
        <v>227.0</v>
      </c>
      <c r="C366" s="12">
        <v>492.0</v>
      </c>
      <c r="D366" s="12">
        <v>3.25</v>
      </c>
      <c r="E366" s="12">
        <v>0.63</v>
      </c>
      <c r="F366" s="12">
        <v>50.0</v>
      </c>
      <c r="G366" s="13">
        <v>44462.63077635417</v>
      </c>
      <c r="H366" s="14">
        <f>IFERROR(__xludf.DUMMYFUNCTION("SPLIT(G366, "", "")"),44462.0)</f>
        <v>44462</v>
      </c>
      <c r="I366" s="15">
        <f>IFERROR(__xludf.DUMMYFUNCTION("""COMPUTED_VALUE"""),0.6307754629629629)</f>
        <v>0.630775463</v>
      </c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12">
        <v>3.42</v>
      </c>
      <c r="B367" s="12">
        <v>227.0</v>
      </c>
      <c r="C367" s="12">
        <v>492.1</v>
      </c>
      <c r="D367" s="12">
        <v>3.25</v>
      </c>
      <c r="E367" s="12">
        <v>0.63</v>
      </c>
      <c r="F367" s="12">
        <v>50.0</v>
      </c>
      <c r="G367" s="13">
        <v>44462.630883425925</v>
      </c>
      <c r="H367" s="14">
        <f>IFERROR(__xludf.DUMMYFUNCTION("SPLIT(G367, "", "")"),44462.0)</f>
        <v>44462</v>
      </c>
      <c r="I367" s="15">
        <f>IFERROR(__xludf.DUMMYFUNCTION("""COMPUTED_VALUE"""),0.6308796296296296)</f>
        <v>0.6308796296</v>
      </c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12">
        <v>3.43</v>
      </c>
      <c r="B368" s="12">
        <v>226.8</v>
      </c>
      <c r="C368" s="12">
        <v>492.2</v>
      </c>
      <c r="D368" s="12">
        <v>3.26</v>
      </c>
      <c r="E368" s="12">
        <v>0.63</v>
      </c>
      <c r="F368" s="12">
        <v>50.0</v>
      </c>
      <c r="G368" s="13">
        <v>44462.63098751157</v>
      </c>
      <c r="H368" s="14">
        <f>IFERROR(__xludf.DUMMYFUNCTION("SPLIT(G368, "", "")"),44462.0)</f>
        <v>44462</v>
      </c>
      <c r="I368" s="15">
        <f>IFERROR(__xludf.DUMMYFUNCTION("""COMPUTED_VALUE"""),0.6309837962962963)</f>
        <v>0.6309837963</v>
      </c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12">
        <v>3.43</v>
      </c>
      <c r="B369" s="12">
        <v>226.8</v>
      </c>
      <c r="C369" s="12">
        <v>492.3</v>
      </c>
      <c r="D369" s="12">
        <v>3.26</v>
      </c>
      <c r="E369" s="12">
        <v>0.63</v>
      </c>
      <c r="F369" s="12">
        <v>50.0</v>
      </c>
      <c r="G369" s="13">
        <v>44462.63108902778</v>
      </c>
      <c r="H369" s="14">
        <f>IFERROR(__xludf.DUMMYFUNCTION("SPLIT(G369, "", "")"),44462.0)</f>
        <v>44462</v>
      </c>
      <c r="I369" s="15">
        <f>IFERROR(__xludf.DUMMYFUNCTION("""COMPUTED_VALUE"""),0.631087962962963)</f>
        <v>0.631087963</v>
      </c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12">
        <v>3.43</v>
      </c>
      <c r="B370" s="12">
        <v>226.6</v>
      </c>
      <c r="C370" s="12">
        <v>492.2</v>
      </c>
      <c r="D370" s="12">
        <v>3.26</v>
      </c>
      <c r="E370" s="12">
        <v>0.63</v>
      </c>
      <c r="F370" s="12">
        <v>50.0</v>
      </c>
      <c r="G370" s="13">
        <v>44462.63119554398</v>
      </c>
      <c r="H370" s="14">
        <f>IFERROR(__xludf.DUMMYFUNCTION("SPLIT(G370, "", "")"),44462.0)</f>
        <v>44462</v>
      </c>
      <c r="I370" s="15">
        <f>IFERROR(__xludf.DUMMYFUNCTION("""COMPUTED_VALUE"""),0.6311921296296297)</f>
        <v>0.6311921296</v>
      </c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12">
        <v>3.43</v>
      </c>
      <c r="B371" s="12">
        <v>226.9</v>
      </c>
      <c r="C371" s="12">
        <v>492.3</v>
      </c>
      <c r="D371" s="12">
        <v>3.26</v>
      </c>
      <c r="E371" s="12">
        <v>0.63</v>
      </c>
      <c r="F371" s="12">
        <v>50.0</v>
      </c>
      <c r="G371" s="13">
        <v>44462.63130429398</v>
      </c>
      <c r="H371" s="14">
        <f>IFERROR(__xludf.DUMMYFUNCTION("SPLIT(G371, "", "")"),44462.0)</f>
        <v>44462</v>
      </c>
      <c r="I371" s="15">
        <f>IFERROR(__xludf.DUMMYFUNCTION("""COMPUTED_VALUE"""),0.6313078703703704)</f>
        <v>0.6313078704</v>
      </c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12">
        <v>3.43</v>
      </c>
      <c r="B372" s="12">
        <v>226.9</v>
      </c>
      <c r="C372" s="12">
        <v>492.4</v>
      </c>
      <c r="D372" s="12">
        <v>3.26</v>
      </c>
      <c r="E372" s="12">
        <v>0.63</v>
      </c>
      <c r="F372" s="12">
        <v>50.0</v>
      </c>
      <c r="G372" s="13">
        <v>44462.631410682865</v>
      </c>
      <c r="H372" s="14">
        <f>IFERROR(__xludf.DUMMYFUNCTION("SPLIT(G372, "", "")"),44462.0)</f>
        <v>44462</v>
      </c>
      <c r="I372" s="15">
        <f>IFERROR(__xludf.DUMMYFUNCTION("""COMPUTED_VALUE"""),0.6314120370370371)</f>
        <v>0.631412037</v>
      </c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12">
        <v>3.43</v>
      </c>
      <c r="B373" s="12">
        <v>227.0</v>
      </c>
      <c r="C373" s="12">
        <v>492.5</v>
      </c>
      <c r="D373" s="12">
        <v>3.26</v>
      </c>
      <c r="E373" s="12">
        <v>0.63</v>
      </c>
      <c r="F373" s="12">
        <v>50.0</v>
      </c>
      <c r="G373" s="13">
        <v>44462.63151439815</v>
      </c>
      <c r="H373" s="14">
        <f>IFERROR(__xludf.DUMMYFUNCTION("SPLIT(G373, "", "")"),44462.0)</f>
        <v>44462</v>
      </c>
      <c r="I373" s="15">
        <f>IFERROR(__xludf.DUMMYFUNCTION("""COMPUTED_VALUE"""),0.6315162037037036)</f>
        <v>0.6315162037</v>
      </c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12">
        <v>3.43</v>
      </c>
      <c r="B374" s="12">
        <v>226.7</v>
      </c>
      <c r="C374" s="12">
        <v>492.4</v>
      </c>
      <c r="D374" s="12">
        <v>3.26</v>
      </c>
      <c r="E374" s="12">
        <v>0.63</v>
      </c>
      <c r="F374" s="12">
        <v>50.0</v>
      </c>
      <c r="G374" s="13">
        <v>44462.631614375</v>
      </c>
      <c r="H374" s="14">
        <f>IFERROR(__xludf.DUMMYFUNCTION("SPLIT(G374, "", "")"),44462.0)</f>
        <v>44462</v>
      </c>
      <c r="I374" s="15">
        <f>IFERROR(__xludf.DUMMYFUNCTION("""COMPUTED_VALUE"""),0.6316087962962963)</f>
        <v>0.6316087963</v>
      </c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12">
        <v>3.43</v>
      </c>
      <c r="B375" s="12">
        <v>226.7</v>
      </c>
      <c r="C375" s="12">
        <v>492.5</v>
      </c>
      <c r="D375" s="12">
        <v>3.26</v>
      </c>
      <c r="E375" s="12">
        <v>0.63</v>
      </c>
      <c r="F375" s="12">
        <v>50.0</v>
      </c>
      <c r="G375" s="13">
        <v>44462.63171994213</v>
      </c>
      <c r="H375" s="14">
        <f>IFERROR(__xludf.DUMMYFUNCTION("SPLIT(G375, "", "")"),44462.0)</f>
        <v>44462</v>
      </c>
      <c r="I375" s="15">
        <f>IFERROR(__xludf.DUMMYFUNCTION("""COMPUTED_VALUE"""),0.631724537037037)</f>
        <v>0.631724537</v>
      </c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12">
        <v>3.43</v>
      </c>
      <c r="B376" s="12">
        <v>226.8</v>
      </c>
      <c r="C376" s="12">
        <v>492.6</v>
      </c>
      <c r="D376" s="12">
        <v>3.27</v>
      </c>
      <c r="E376" s="12">
        <v>0.63</v>
      </c>
      <c r="F376" s="12">
        <v>50.0</v>
      </c>
      <c r="G376" s="13">
        <v>44462.63181704861</v>
      </c>
      <c r="H376" s="14">
        <f>IFERROR(__xludf.DUMMYFUNCTION("SPLIT(G376, "", "")"),44462.0)</f>
        <v>44462</v>
      </c>
      <c r="I376" s="15">
        <f>IFERROR(__xludf.DUMMYFUNCTION("""COMPUTED_VALUE"""),0.6318171296296297)</f>
        <v>0.6318171296</v>
      </c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12">
        <v>3.44</v>
      </c>
      <c r="B377" s="12">
        <v>226.7</v>
      </c>
      <c r="C377" s="12">
        <v>492.7</v>
      </c>
      <c r="D377" s="12">
        <v>3.27</v>
      </c>
      <c r="E377" s="12">
        <v>0.63</v>
      </c>
      <c r="F377" s="12">
        <v>50.0</v>
      </c>
      <c r="G377" s="13">
        <v>44462.631917175924</v>
      </c>
      <c r="H377" s="14">
        <f>IFERROR(__xludf.DUMMYFUNCTION("SPLIT(G377, "", "")"),44462.0)</f>
        <v>44462</v>
      </c>
      <c r="I377" s="15">
        <f>IFERROR(__xludf.DUMMYFUNCTION("""COMPUTED_VALUE"""),0.6319212962962963)</f>
        <v>0.6319212963</v>
      </c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12">
        <v>3.43</v>
      </c>
      <c r="B378" s="12">
        <v>226.8</v>
      </c>
      <c r="C378" s="12">
        <v>492.8</v>
      </c>
      <c r="D378" s="12">
        <v>3.27</v>
      </c>
      <c r="E378" s="12">
        <v>0.63</v>
      </c>
      <c r="F378" s="12">
        <v>49.9</v>
      </c>
      <c r="G378" s="13">
        <v>44462.63201645833</v>
      </c>
      <c r="H378" s="14">
        <f>IFERROR(__xludf.DUMMYFUNCTION("SPLIT(G378, "", "")"),44462.0)</f>
        <v>44462</v>
      </c>
      <c r="I378" s="15">
        <f>IFERROR(__xludf.DUMMYFUNCTION("""COMPUTED_VALUE"""),0.6320138888888889)</f>
        <v>0.6320138889</v>
      </c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12">
        <v>3.43</v>
      </c>
      <c r="B379" s="12">
        <v>226.9</v>
      </c>
      <c r="C379" s="12">
        <v>492.8</v>
      </c>
      <c r="D379" s="12">
        <v>3.27</v>
      </c>
      <c r="E379" s="12">
        <v>0.63</v>
      </c>
      <c r="F379" s="12">
        <v>50.0</v>
      </c>
      <c r="G379" s="13">
        <v>44462.632114259264</v>
      </c>
      <c r="H379" s="14">
        <f>IFERROR(__xludf.DUMMYFUNCTION("SPLIT(G379, "", "")"),44462.0)</f>
        <v>44462</v>
      </c>
      <c r="I379" s="15">
        <f>IFERROR(__xludf.DUMMYFUNCTION("""COMPUTED_VALUE"""),0.6321180555555556)</f>
        <v>0.6321180556</v>
      </c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12">
        <v>3.44</v>
      </c>
      <c r="B380" s="12">
        <v>226.6</v>
      </c>
      <c r="C380" s="12">
        <v>492.9</v>
      </c>
      <c r="D380" s="12">
        <v>3.27</v>
      </c>
      <c r="E380" s="12">
        <v>0.63</v>
      </c>
      <c r="F380" s="12">
        <v>50.0</v>
      </c>
      <c r="G380" s="13">
        <v>44462.63221704861</v>
      </c>
      <c r="H380" s="14">
        <f>IFERROR(__xludf.DUMMYFUNCTION("SPLIT(G380, "", "")"),44462.0)</f>
        <v>44462</v>
      </c>
      <c r="I380" s="15">
        <f>IFERROR(__xludf.DUMMYFUNCTION("""COMPUTED_VALUE"""),0.6322222222222222)</f>
        <v>0.6322222222</v>
      </c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12">
        <v>3.43</v>
      </c>
      <c r="B381" s="12">
        <v>226.7</v>
      </c>
      <c r="C381" s="12">
        <v>492.9</v>
      </c>
      <c r="D381" s="12">
        <v>3.27</v>
      </c>
      <c r="E381" s="12">
        <v>0.63</v>
      </c>
      <c r="F381" s="12">
        <v>50.0</v>
      </c>
      <c r="G381" s="13">
        <v>44462.632318310185</v>
      </c>
      <c r="H381" s="14">
        <f>IFERROR(__xludf.DUMMYFUNCTION("SPLIT(G381, "", "")"),44462.0)</f>
        <v>44462</v>
      </c>
      <c r="I381" s="15">
        <f>IFERROR(__xludf.DUMMYFUNCTION("""COMPUTED_VALUE"""),0.6323148148148148)</f>
        <v>0.6323148148</v>
      </c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12">
        <v>3.43</v>
      </c>
      <c r="B382" s="12">
        <v>227.0</v>
      </c>
      <c r="C382" s="12">
        <v>493.0</v>
      </c>
      <c r="D382" s="12">
        <v>3.27</v>
      </c>
      <c r="E382" s="12">
        <v>0.63</v>
      </c>
      <c r="F382" s="12">
        <v>50.0</v>
      </c>
      <c r="G382" s="13">
        <v>44462.63241953704</v>
      </c>
      <c r="H382" s="14">
        <f>IFERROR(__xludf.DUMMYFUNCTION("SPLIT(G382, "", "")"),44462.0)</f>
        <v>44462</v>
      </c>
      <c r="I382" s="15">
        <f>IFERROR(__xludf.DUMMYFUNCTION("""COMPUTED_VALUE"""),0.6324189814814815)</f>
        <v>0.6324189815</v>
      </c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12">
        <v>3.43</v>
      </c>
      <c r="B383" s="12">
        <v>227.0</v>
      </c>
      <c r="C383" s="12">
        <v>493.1</v>
      </c>
      <c r="D383" s="12">
        <v>3.27</v>
      </c>
      <c r="E383" s="12">
        <v>0.63</v>
      </c>
      <c r="F383" s="12">
        <v>50.0</v>
      </c>
      <c r="G383" s="13">
        <v>44462.632521168984</v>
      </c>
      <c r="H383" s="14">
        <f>IFERROR(__xludf.DUMMYFUNCTION("SPLIT(G383, "", "")"),44462.0)</f>
        <v>44462</v>
      </c>
      <c r="I383" s="15">
        <f>IFERROR(__xludf.DUMMYFUNCTION("""COMPUTED_VALUE"""),0.6325231481481481)</f>
        <v>0.6325231481</v>
      </c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12">
        <v>3.43</v>
      </c>
      <c r="B384" s="12">
        <v>226.9</v>
      </c>
      <c r="C384" s="12">
        <v>493.1</v>
      </c>
      <c r="D384" s="12">
        <v>3.27</v>
      </c>
      <c r="E384" s="12">
        <v>0.63</v>
      </c>
      <c r="F384" s="12">
        <v>50.0</v>
      </c>
      <c r="G384" s="13">
        <v>44462.63262341435</v>
      </c>
      <c r="H384" s="14">
        <f>IFERROR(__xludf.DUMMYFUNCTION("SPLIT(G384, "", "")"),44462.0)</f>
        <v>44462</v>
      </c>
      <c r="I384" s="15">
        <f>IFERROR(__xludf.DUMMYFUNCTION("""COMPUTED_VALUE"""),0.6326273148148148)</f>
        <v>0.6326273148</v>
      </c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12">
        <v>3.43</v>
      </c>
      <c r="B385" s="12">
        <v>226.7</v>
      </c>
      <c r="C385" s="12">
        <v>493.2</v>
      </c>
      <c r="D385" s="12">
        <v>3.28</v>
      </c>
      <c r="E385" s="12">
        <v>0.63</v>
      </c>
      <c r="F385" s="12">
        <v>50.0</v>
      </c>
      <c r="G385" s="13">
        <v>44462.63272706019</v>
      </c>
      <c r="H385" s="14">
        <f>IFERROR(__xludf.DUMMYFUNCTION("SPLIT(G385, "", "")"),44462.0)</f>
        <v>44462</v>
      </c>
      <c r="I385" s="15">
        <f>IFERROR(__xludf.DUMMYFUNCTION("""COMPUTED_VALUE"""),0.6327314814814815)</f>
        <v>0.6327314815</v>
      </c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12">
        <v>3.43</v>
      </c>
      <c r="B386" s="12">
        <v>226.7</v>
      </c>
      <c r="C386" s="12">
        <v>493.2</v>
      </c>
      <c r="D386" s="12">
        <v>3.28</v>
      </c>
      <c r="E386" s="12">
        <v>0.63</v>
      </c>
      <c r="F386" s="12">
        <v>50.0</v>
      </c>
      <c r="G386" s="13">
        <v>44462.63282652778</v>
      </c>
      <c r="H386" s="14">
        <f>IFERROR(__xludf.DUMMYFUNCTION("SPLIT(G386, "", "")"),44462.0)</f>
        <v>44462</v>
      </c>
      <c r="I386" s="15">
        <f>IFERROR(__xludf.DUMMYFUNCTION("""COMPUTED_VALUE"""),0.632824074074074)</f>
        <v>0.6328240741</v>
      </c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12">
        <v>3.43</v>
      </c>
      <c r="B387" s="12">
        <v>226.7</v>
      </c>
      <c r="C387" s="12">
        <v>493.2</v>
      </c>
      <c r="D387" s="12">
        <v>3.28</v>
      </c>
      <c r="E387" s="12">
        <v>0.63</v>
      </c>
      <c r="F387" s="12">
        <v>50.0</v>
      </c>
      <c r="G387" s="13">
        <v>44462.632926273145</v>
      </c>
      <c r="H387" s="14">
        <f>IFERROR(__xludf.DUMMYFUNCTION("SPLIT(G387, "", "")"),44462.0)</f>
        <v>44462</v>
      </c>
      <c r="I387" s="15">
        <f>IFERROR(__xludf.DUMMYFUNCTION("""COMPUTED_VALUE"""),0.6329282407407407)</f>
        <v>0.6329282407</v>
      </c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12">
        <v>3.44</v>
      </c>
      <c r="B388" s="12">
        <v>226.6</v>
      </c>
      <c r="C388" s="12">
        <v>493.3</v>
      </c>
      <c r="D388" s="12">
        <v>3.28</v>
      </c>
      <c r="E388" s="12">
        <v>0.63</v>
      </c>
      <c r="F388" s="12">
        <v>50.0</v>
      </c>
      <c r="G388" s="13">
        <v>44462.63302628472</v>
      </c>
      <c r="H388" s="14">
        <f>IFERROR(__xludf.DUMMYFUNCTION("SPLIT(G388, "", "")"),44462.0)</f>
        <v>44462</v>
      </c>
      <c r="I388" s="15">
        <f>IFERROR(__xludf.DUMMYFUNCTION("""COMPUTED_VALUE"""),0.6330208333333334)</f>
        <v>0.6330208333</v>
      </c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12">
        <v>3.44</v>
      </c>
      <c r="B389" s="12">
        <v>226.6</v>
      </c>
      <c r="C389" s="12">
        <v>493.3</v>
      </c>
      <c r="D389" s="12">
        <v>3.28</v>
      </c>
      <c r="E389" s="12">
        <v>0.63</v>
      </c>
      <c r="F389" s="12">
        <v>50.0</v>
      </c>
      <c r="G389" s="13">
        <v>44462.63312462963</v>
      </c>
      <c r="H389" s="14">
        <f>IFERROR(__xludf.DUMMYFUNCTION("SPLIT(G389, "", "")"),44462.0)</f>
        <v>44462</v>
      </c>
      <c r="I389" s="15">
        <f>IFERROR(__xludf.DUMMYFUNCTION("""COMPUTED_VALUE"""),0.633125)</f>
        <v>0.633125</v>
      </c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12">
        <v>3.44</v>
      </c>
      <c r="B390" s="12">
        <v>226.5</v>
      </c>
      <c r="C390" s="12">
        <v>493.3</v>
      </c>
      <c r="D390" s="12">
        <v>3.28</v>
      </c>
      <c r="E390" s="12">
        <v>0.63</v>
      </c>
      <c r="F390" s="12">
        <v>50.0</v>
      </c>
      <c r="G390" s="13">
        <v>44462.63322395833</v>
      </c>
      <c r="H390" s="14">
        <f>IFERROR(__xludf.DUMMYFUNCTION("SPLIT(G390, "", "")"),44462.0)</f>
        <v>44462</v>
      </c>
      <c r="I390" s="15">
        <f>IFERROR(__xludf.DUMMYFUNCTION("""COMPUTED_VALUE"""),0.6332291666666666)</f>
        <v>0.6332291667</v>
      </c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12">
        <v>3.44</v>
      </c>
      <c r="B391" s="12">
        <v>226.5</v>
      </c>
      <c r="C391" s="12">
        <v>493.3</v>
      </c>
      <c r="D391" s="12">
        <v>3.28</v>
      </c>
      <c r="E391" s="12">
        <v>0.63</v>
      </c>
      <c r="F391" s="12">
        <v>50.0</v>
      </c>
      <c r="G391" s="13">
        <v>44462.63332606481</v>
      </c>
      <c r="H391" s="14">
        <f>IFERROR(__xludf.DUMMYFUNCTION("SPLIT(G391, "", "")"),44462.0)</f>
        <v>44462</v>
      </c>
      <c r="I391" s="15">
        <f>IFERROR(__xludf.DUMMYFUNCTION("""COMPUTED_VALUE"""),0.6333217592592593)</f>
        <v>0.6333217593</v>
      </c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12">
        <v>3.43</v>
      </c>
      <c r="B392" s="12">
        <v>226.5</v>
      </c>
      <c r="C392" s="12">
        <v>493.4</v>
      </c>
      <c r="D392" s="12">
        <v>3.28</v>
      </c>
      <c r="E392" s="12">
        <v>0.63</v>
      </c>
      <c r="F392" s="12">
        <v>50.0</v>
      </c>
      <c r="G392" s="13">
        <v>44462.63342699074</v>
      </c>
      <c r="H392" s="14">
        <f>IFERROR(__xludf.DUMMYFUNCTION("SPLIT(G392, "", "")"),44462.0)</f>
        <v>44462</v>
      </c>
      <c r="I392" s="15">
        <f>IFERROR(__xludf.DUMMYFUNCTION("""COMPUTED_VALUE"""),0.633425925925926)</f>
        <v>0.6334259259</v>
      </c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12">
        <v>3.44</v>
      </c>
      <c r="B393" s="12">
        <v>226.4</v>
      </c>
      <c r="C393" s="12">
        <v>493.5</v>
      </c>
      <c r="D393" s="12">
        <v>3.29</v>
      </c>
      <c r="E393" s="12">
        <v>0.63</v>
      </c>
      <c r="F393" s="12">
        <v>49.9</v>
      </c>
      <c r="G393" s="13">
        <v>44462.633531377316</v>
      </c>
      <c r="H393" s="14">
        <f>IFERROR(__xludf.DUMMYFUNCTION("SPLIT(G393, "", "")"),44462.0)</f>
        <v>44462</v>
      </c>
      <c r="I393" s="15">
        <f>IFERROR(__xludf.DUMMYFUNCTION("""COMPUTED_VALUE"""),0.6335300925925926)</f>
        <v>0.6335300926</v>
      </c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12">
        <v>3.44</v>
      </c>
      <c r="B394" s="12">
        <v>226.5</v>
      </c>
      <c r="C394" s="12">
        <v>493.5</v>
      </c>
      <c r="D394" s="12">
        <v>3.29</v>
      </c>
      <c r="E394" s="12">
        <v>0.63</v>
      </c>
      <c r="F394" s="12">
        <v>50.0</v>
      </c>
      <c r="G394" s="13">
        <v>44462.63363603009</v>
      </c>
      <c r="H394" s="14">
        <f>IFERROR(__xludf.DUMMYFUNCTION("SPLIT(G394, "", "")"),44462.0)</f>
        <v>44462</v>
      </c>
      <c r="I394" s="15">
        <f>IFERROR(__xludf.DUMMYFUNCTION("""COMPUTED_VALUE"""),0.6336342592592593)</f>
        <v>0.6336342593</v>
      </c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12">
        <v>3.44</v>
      </c>
      <c r="B395" s="12">
        <v>226.5</v>
      </c>
      <c r="C395" s="12">
        <v>493.5</v>
      </c>
      <c r="D395" s="12">
        <v>3.29</v>
      </c>
      <c r="E395" s="12">
        <v>0.63</v>
      </c>
      <c r="F395" s="12">
        <v>50.0</v>
      </c>
      <c r="G395" s="13">
        <v>44462.63373865741</v>
      </c>
      <c r="H395" s="14">
        <f>IFERROR(__xludf.DUMMYFUNCTION("SPLIT(G395, "", "")"),44462.0)</f>
        <v>44462</v>
      </c>
      <c r="I395" s="15">
        <f>IFERROR(__xludf.DUMMYFUNCTION("""COMPUTED_VALUE"""),0.6337384259259259)</f>
        <v>0.6337384259</v>
      </c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12">
        <v>3.43</v>
      </c>
      <c r="B396" s="12">
        <v>226.7</v>
      </c>
      <c r="C396" s="12">
        <v>493.7</v>
      </c>
      <c r="D396" s="12">
        <v>3.29</v>
      </c>
      <c r="E396" s="12">
        <v>0.63</v>
      </c>
      <c r="F396" s="12">
        <v>50.0</v>
      </c>
      <c r="G396" s="13">
        <v>44462.63384435185</v>
      </c>
      <c r="H396" s="14">
        <f>IFERROR(__xludf.DUMMYFUNCTION("SPLIT(G396, "", "")"),44462.0)</f>
        <v>44462</v>
      </c>
      <c r="I396" s="15">
        <f>IFERROR(__xludf.DUMMYFUNCTION("""COMPUTED_VALUE"""),0.6338425925925926)</f>
        <v>0.6338425926</v>
      </c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12">
        <v>3.43</v>
      </c>
      <c r="B397" s="12">
        <v>226.6</v>
      </c>
      <c r="C397" s="12">
        <v>493.8</v>
      </c>
      <c r="D397" s="12">
        <v>3.29</v>
      </c>
      <c r="E397" s="12">
        <v>0.63</v>
      </c>
      <c r="F397" s="12">
        <v>49.9</v>
      </c>
      <c r="G397" s="13">
        <v>44462.63418489583</v>
      </c>
      <c r="H397" s="14">
        <f>IFERROR(__xludf.DUMMYFUNCTION("SPLIT(G397, "", "")"),44462.0)</f>
        <v>44462</v>
      </c>
      <c r="I397" s="15">
        <f>IFERROR(__xludf.DUMMYFUNCTION("""COMPUTED_VALUE"""),0.6341898148148148)</f>
        <v>0.6341898148</v>
      </c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12">
        <v>3.43</v>
      </c>
      <c r="B398" s="12">
        <v>226.7</v>
      </c>
      <c r="C398" s="12">
        <v>493.9</v>
      </c>
      <c r="D398" s="12">
        <v>3.29</v>
      </c>
      <c r="E398" s="12">
        <v>0.63</v>
      </c>
      <c r="F398" s="12">
        <v>50.0</v>
      </c>
      <c r="G398" s="13">
        <v>44462.63424341435</v>
      </c>
      <c r="H398" s="14">
        <f>IFERROR(__xludf.DUMMYFUNCTION("SPLIT(G398, "", "")"),44462.0)</f>
        <v>44462</v>
      </c>
      <c r="I398" s="15">
        <f>IFERROR(__xludf.DUMMYFUNCTION("""COMPUTED_VALUE"""),0.6342476851851852)</f>
        <v>0.6342476852</v>
      </c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12">
        <v>3.42</v>
      </c>
      <c r="B399" s="12">
        <v>227.0</v>
      </c>
      <c r="C399" s="12">
        <v>494.0</v>
      </c>
      <c r="D399" s="12">
        <v>3.3</v>
      </c>
      <c r="E399" s="12">
        <v>0.64</v>
      </c>
      <c r="F399" s="12">
        <v>49.9</v>
      </c>
      <c r="G399" s="13">
        <v>44462.63434334491</v>
      </c>
      <c r="H399" s="14">
        <f>IFERROR(__xludf.DUMMYFUNCTION("SPLIT(G399, "", "")"),44462.0)</f>
        <v>44462</v>
      </c>
      <c r="I399" s="15">
        <f>IFERROR(__xludf.DUMMYFUNCTION("""COMPUTED_VALUE"""),0.6343402777777778)</f>
        <v>0.6343402778</v>
      </c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12">
        <v>3.43</v>
      </c>
      <c r="B400" s="12">
        <v>226.9</v>
      </c>
      <c r="C400" s="12">
        <v>494.0</v>
      </c>
      <c r="D400" s="12">
        <v>3.3</v>
      </c>
      <c r="E400" s="12">
        <v>0.64</v>
      </c>
      <c r="F400" s="12">
        <v>49.9</v>
      </c>
      <c r="G400" s="13">
        <v>44462.63444256944</v>
      </c>
      <c r="H400" s="14">
        <f>IFERROR(__xludf.DUMMYFUNCTION("SPLIT(G400, "", "")"),44462.0)</f>
        <v>44462</v>
      </c>
      <c r="I400" s="15">
        <f>IFERROR(__xludf.DUMMYFUNCTION("""COMPUTED_VALUE"""),0.6344444444444445)</f>
        <v>0.6344444444</v>
      </c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12">
        <v>3.41</v>
      </c>
      <c r="B401" s="12">
        <v>227.1</v>
      </c>
      <c r="C401" s="12">
        <v>494.1</v>
      </c>
      <c r="D401" s="12">
        <v>3.3</v>
      </c>
      <c r="E401" s="12">
        <v>0.64</v>
      </c>
      <c r="F401" s="12">
        <v>50.0</v>
      </c>
      <c r="G401" s="13">
        <v>44462.63454496527</v>
      </c>
      <c r="H401" s="14">
        <f>IFERROR(__xludf.DUMMYFUNCTION("SPLIT(G401, "", "")"),44462.0)</f>
        <v>44462</v>
      </c>
      <c r="I401" s="15">
        <f>IFERROR(__xludf.DUMMYFUNCTION("""COMPUTED_VALUE"""),0.6345486111111112)</f>
        <v>0.6345486111</v>
      </c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12">
        <v>3.41</v>
      </c>
      <c r="B402" s="12">
        <v>227.0</v>
      </c>
      <c r="C402" s="12">
        <v>494.1</v>
      </c>
      <c r="D402" s="12">
        <v>3.3</v>
      </c>
      <c r="E402" s="12">
        <v>0.64</v>
      </c>
      <c r="F402" s="12">
        <v>49.9</v>
      </c>
      <c r="G402" s="13">
        <v>44462.63464950232</v>
      </c>
      <c r="H402" s="14">
        <f>IFERROR(__xludf.DUMMYFUNCTION("SPLIT(G402, "", "")"),44462.0)</f>
        <v>44462</v>
      </c>
      <c r="I402" s="15">
        <f>IFERROR(__xludf.DUMMYFUNCTION("""COMPUTED_VALUE"""),0.6346527777777777)</f>
        <v>0.6346527778</v>
      </c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12">
        <v>3.42</v>
      </c>
      <c r="B403" s="12">
        <v>226.6</v>
      </c>
      <c r="C403" s="12">
        <v>494.2</v>
      </c>
      <c r="D403" s="12">
        <v>3.3</v>
      </c>
      <c r="E403" s="12">
        <v>0.64</v>
      </c>
      <c r="F403" s="12">
        <v>49.9</v>
      </c>
      <c r="G403" s="13">
        <v>44462.634749791665</v>
      </c>
      <c r="H403" s="14">
        <f>IFERROR(__xludf.DUMMYFUNCTION("SPLIT(G403, "", "")"),44462.0)</f>
        <v>44462</v>
      </c>
      <c r="I403" s="15">
        <f>IFERROR(__xludf.DUMMYFUNCTION("""COMPUTED_VALUE"""),0.6347453703703704)</f>
        <v>0.6347453704</v>
      </c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12">
        <v>3.44</v>
      </c>
      <c r="B404" s="12">
        <v>226.5</v>
      </c>
      <c r="C404" s="12">
        <v>494.2</v>
      </c>
      <c r="D404" s="12">
        <v>3.3</v>
      </c>
      <c r="E404" s="12">
        <v>0.63</v>
      </c>
      <c r="F404" s="12">
        <v>49.9</v>
      </c>
      <c r="G404" s="13">
        <v>44462.63484935185</v>
      </c>
      <c r="H404" s="14">
        <f>IFERROR(__xludf.DUMMYFUNCTION("SPLIT(G404, "", "")"),44462.0)</f>
        <v>44462</v>
      </c>
      <c r="I404" s="15">
        <f>IFERROR(__xludf.DUMMYFUNCTION("""COMPUTED_VALUE"""),0.6348495370370371)</f>
        <v>0.634849537</v>
      </c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12">
        <v>3.44</v>
      </c>
      <c r="B405" s="12">
        <v>226.6</v>
      </c>
      <c r="C405" s="12">
        <v>494.2</v>
      </c>
      <c r="D405" s="12">
        <v>3.3</v>
      </c>
      <c r="E405" s="12">
        <v>0.63</v>
      </c>
      <c r="F405" s="12">
        <v>50.0</v>
      </c>
      <c r="G405" s="13">
        <v>44462.63494797454</v>
      </c>
      <c r="H405" s="14">
        <f>IFERROR(__xludf.DUMMYFUNCTION("SPLIT(G405, "", "")"),44462.0)</f>
        <v>44462</v>
      </c>
      <c r="I405" s="15">
        <f>IFERROR(__xludf.DUMMYFUNCTION("""COMPUTED_VALUE"""),0.6349537037037037)</f>
        <v>0.6349537037</v>
      </c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12">
        <v>3.44</v>
      </c>
      <c r="B406" s="12">
        <v>226.6</v>
      </c>
      <c r="C406" s="12">
        <v>494.3</v>
      </c>
      <c r="D406" s="12">
        <v>3.3</v>
      </c>
      <c r="E406" s="12">
        <v>0.63</v>
      </c>
      <c r="F406" s="12">
        <v>50.0</v>
      </c>
      <c r="G406" s="13">
        <v>44462.63504631944</v>
      </c>
      <c r="H406" s="14">
        <f>IFERROR(__xludf.DUMMYFUNCTION("SPLIT(G406, "", "")"),44462.0)</f>
        <v>44462</v>
      </c>
      <c r="I406" s="15">
        <f>IFERROR(__xludf.DUMMYFUNCTION("""COMPUTED_VALUE"""),0.6350462962962963)</f>
        <v>0.6350462963</v>
      </c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12">
        <v>3.43</v>
      </c>
      <c r="B407" s="12">
        <v>226.8</v>
      </c>
      <c r="C407" s="12">
        <v>494.4</v>
      </c>
      <c r="D407" s="12">
        <v>3.3</v>
      </c>
      <c r="E407" s="12">
        <v>0.64</v>
      </c>
      <c r="F407" s="12">
        <v>50.0</v>
      </c>
      <c r="G407" s="13">
        <v>44462.63514414352</v>
      </c>
      <c r="H407" s="14">
        <f>IFERROR(__xludf.DUMMYFUNCTION("SPLIT(G407, "", "")"),44462.0)</f>
        <v>44462</v>
      </c>
      <c r="I407" s="15">
        <f>IFERROR(__xludf.DUMMYFUNCTION("""COMPUTED_VALUE"""),0.6351388888888889)</f>
        <v>0.6351388889</v>
      </c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12">
        <v>3.43</v>
      </c>
      <c r="B408" s="12">
        <v>226.7</v>
      </c>
      <c r="C408" s="12">
        <v>494.4</v>
      </c>
      <c r="D408" s="12">
        <v>3.31</v>
      </c>
      <c r="E408" s="12">
        <v>0.64</v>
      </c>
      <c r="F408" s="12">
        <v>50.0</v>
      </c>
      <c r="G408" s="13">
        <v>44462.63524350694</v>
      </c>
      <c r="H408" s="14">
        <f>IFERROR(__xludf.DUMMYFUNCTION("SPLIT(G408, "", "")"),44462.0)</f>
        <v>44462</v>
      </c>
      <c r="I408" s="15">
        <f>IFERROR(__xludf.DUMMYFUNCTION("""COMPUTED_VALUE"""),0.6352430555555556)</f>
        <v>0.6352430556</v>
      </c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12">
        <v>3.44</v>
      </c>
      <c r="B409" s="12">
        <v>226.6</v>
      </c>
      <c r="C409" s="12">
        <v>494.4</v>
      </c>
      <c r="D409" s="12">
        <v>3.31</v>
      </c>
      <c r="E409" s="12">
        <v>0.63</v>
      </c>
      <c r="F409" s="12">
        <v>50.0</v>
      </c>
      <c r="G409" s="13">
        <v>44462.63534173611</v>
      </c>
      <c r="H409" s="14">
        <f>IFERROR(__xludf.DUMMYFUNCTION("SPLIT(G409, "", "")"),44462.0)</f>
        <v>44462</v>
      </c>
      <c r="I409" s="15">
        <f>IFERROR(__xludf.DUMMYFUNCTION("""COMPUTED_VALUE"""),0.6353472222222222)</f>
        <v>0.6353472222</v>
      </c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12">
        <v>3.45</v>
      </c>
      <c r="B410" s="12">
        <v>226.6</v>
      </c>
      <c r="C410" s="12">
        <v>494.6</v>
      </c>
      <c r="D410" s="12">
        <v>3.31</v>
      </c>
      <c r="E410" s="12">
        <v>0.63</v>
      </c>
      <c r="F410" s="12">
        <v>50.0</v>
      </c>
      <c r="G410" s="13">
        <v>44462.63543956018</v>
      </c>
      <c r="H410" s="14">
        <f>IFERROR(__xludf.DUMMYFUNCTION("SPLIT(G410, "", "")"),44462.0)</f>
        <v>44462</v>
      </c>
      <c r="I410" s="15">
        <f>IFERROR(__xludf.DUMMYFUNCTION("""COMPUTED_VALUE"""),0.6354398148148148)</f>
        <v>0.6354398148</v>
      </c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12">
        <v>3.45</v>
      </c>
      <c r="B411" s="12">
        <v>226.7</v>
      </c>
      <c r="C411" s="12">
        <v>494.7</v>
      </c>
      <c r="D411" s="12">
        <v>3.31</v>
      </c>
      <c r="E411" s="12">
        <v>0.63</v>
      </c>
      <c r="F411" s="12">
        <v>50.0</v>
      </c>
      <c r="G411" s="13">
        <v>44462.635537546295</v>
      </c>
      <c r="H411" s="14">
        <f>IFERROR(__xludf.DUMMYFUNCTION("SPLIT(G411, "", "")"),44462.0)</f>
        <v>44462</v>
      </c>
      <c r="I411" s="15">
        <f>IFERROR(__xludf.DUMMYFUNCTION("""COMPUTED_VALUE"""),0.6355324074074075)</f>
        <v>0.6355324074</v>
      </c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12">
        <v>3.44</v>
      </c>
      <c r="B412" s="12">
        <v>226.7</v>
      </c>
      <c r="C412" s="12">
        <v>494.7</v>
      </c>
      <c r="D412" s="12">
        <v>3.31</v>
      </c>
      <c r="E412" s="12">
        <v>0.63</v>
      </c>
      <c r="F412" s="12">
        <v>50.0</v>
      </c>
      <c r="G412" s="13">
        <v>44462.63563600695</v>
      </c>
      <c r="H412" s="14">
        <f>IFERROR(__xludf.DUMMYFUNCTION("SPLIT(G412, "", "")"),44462.0)</f>
        <v>44462</v>
      </c>
      <c r="I412" s="15">
        <f>IFERROR(__xludf.DUMMYFUNCTION("""COMPUTED_VALUE"""),0.635636574074074)</f>
        <v>0.6356365741</v>
      </c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12">
        <v>3.44</v>
      </c>
      <c r="B413" s="12">
        <v>226.7</v>
      </c>
      <c r="C413" s="12">
        <v>494.7</v>
      </c>
      <c r="D413" s="12">
        <v>3.31</v>
      </c>
      <c r="E413" s="12">
        <v>0.63</v>
      </c>
      <c r="F413" s="12">
        <v>50.0</v>
      </c>
      <c r="G413" s="13">
        <v>44462.63573780093</v>
      </c>
      <c r="H413" s="14">
        <f>IFERROR(__xludf.DUMMYFUNCTION("SPLIT(G413, "", "")"),44462.0)</f>
        <v>44462</v>
      </c>
      <c r="I413" s="15">
        <f>IFERROR(__xludf.DUMMYFUNCTION("""COMPUTED_VALUE"""),0.6357407407407407)</f>
        <v>0.6357407407</v>
      </c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12">
        <v>3.43</v>
      </c>
      <c r="B414" s="12">
        <v>226.7</v>
      </c>
      <c r="C414" s="12">
        <v>494.7</v>
      </c>
      <c r="D414" s="12">
        <v>3.31</v>
      </c>
      <c r="E414" s="12">
        <v>0.64</v>
      </c>
      <c r="F414" s="12">
        <v>50.0</v>
      </c>
      <c r="G414" s="13">
        <v>44462.63583730324</v>
      </c>
      <c r="H414" s="14">
        <f>IFERROR(__xludf.DUMMYFUNCTION("SPLIT(G414, "", "")"),44462.0)</f>
        <v>44462</v>
      </c>
      <c r="I414" s="15">
        <f>IFERROR(__xludf.DUMMYFUNCTION("""COMPUTED_VALUE"""),0.6358333333333334)</f>
        <v>0.6358333333</v>
      </c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12">
        <v>3.44</v>
      </c>
      <c r="B415" s="12">
        <v>226.9</v>
      </c>
      <c r="C415" s="12">
        <v>494.8</v>
      </c>
      <c r="D415" s="12">
        <v>3.31</v>
      </c>
      <c r="E415" s="12">
        <v>0.63</v>
      </c>
      <c r="F415" s="12">
        <v>49.9</v>
      </c>
      <c r="G415" s="13">
        <v>44462.63593542824</v>
      </c>
      <c r="H415" s="14">
        <f>IFERROR(__xludf.DUMMYFUNCTION("SPLIT(G415, "", "")"),44462.0)</f>
        <v>44462</v>
      </c>
      <c r="I415" s="15">
        <f>IFERROR(__xludf.DUMMYFUNCTION("""COMPUTED_VALUE"""),0.6359375)</f>
        <v>0.6359375</v>
      </c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12">
        <v>3.44</v>
      </c>
      <c r="B416" s="12">
        <v>226.8</v>
      </c>
      <c r="C416" s="12">
        <v>494.8</v>
      </c>
      <c r="D416" s="12">
        <v>3.32</v>
      </c>
      <c r="E416" s="12">
        <v>0.63</v>
      </c>
      <c r="F416" s="12">
        <v>49.9</v>
      </c>
      <c r="G416" s="13">
        <v>44462.636037881945</v>
      </c>
      <c r="H416" s="14">
        <f>IFERROR(__xludf.DUMMYFUNCTION("SPLIT(G416, "", "")"),44462.0)</f>
        <v>44462</v>
      </c>
      <c r="I416" s="15">
        <f>IFERROR(__xludf.DUMMYFUNCTION("""COMPUTED_VALUE"""),0.6360416666666666)</f>
        <v>0.6360416667</v>
      </c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12">
        <v>3.44</v>
      </c>
      <c r="B417" s="12">
        <v>226.6</v>
      </c>
      <c r="C417" s="12">
        <v>494.8</v>
      </c>
      <c r="D417" s="12">
        <v>3.32</v>
      </c>
      <c r="E417" s="12">
        <v>0.64</v>
      </c>
      <c r="F417" s="12">
        <v>49.9</v>
      </c>
      <c r="G417" s="13">
        <v>44462.63614457176</v>
      </c>
      <c r="H417" s="14">
        <f>IFERROR(__xludf.DUMMYFUNCTION("SPLIT(G417, "", "")"),44462.0)</f>
        <v>44462</v>
      </c>
      <c r="I417" s="15">
        <f>IFERROR(__xludf.DUMMYFUNCTION("""COMPUTED_VALUE"""),0.6361458333333333)</f>
        <v>0.6361458333</v>
      </c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12">
        <v>3.44</v>
      </c>
      <c r="B418" s="12">
        <v>226.5</v>
      </c>
      <c r="C418" s="12">
        <v>494.9</v>
      </c>
      <c r="D418" s="12">
        <v>3.32</v>
      </c>
      <c r="E418" s="12">
        <v>0.64</v>
      </c>
      <c r="F418" s="12">
        <v>49.9</v>
      </c>
      <c r="G418" s="13">
        <v>44462.63624876157</v>
      </c>
      <c r="H418" s="14">
        <f>IFERROR(__xludf.DUMMYFUNCTION("SPLIT(G418, "", "")"),44462.0)</f>
        <v>44462</v>
      </c>
      <c r="I418" s="15">
        <f>IFERROR(__xludf.DUMMYFUNCTION("""COMPUTED_VALUE"""),0.63625)</f>
        <v>0.63625</v>
      </c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12">
        <v>3.44</v>
      </c>
      <c r="B419" s="12">
        <v>226.5</v>
      </c>
      <c r="C419" s="12">
        <v>494.9</v>
      </c>
      <c r="D419" s="12">
        <v>3.32</v>
      </c>
      <c r="E419" s="12">
        <v>0.64</v>
      </c>
      <c r="F419" s="12">
        <v>49.9</v>
      </c>
      <c r="G419" s="13">
        <v>44462.63635178241</v>
      </c>
      <c r="H419" s="14">
        <f>IFERROR(__xludf.DUMMYFUNCTION("SPLIT(G419, "", "")"),44462.0)</f>
        <v>44462</v>
      </c>
      <c r="I419" s="15">
        <f>IFERROR(__xludf.DUMMYFUNCTION("""COMPUTED_VALUE"""),0.6363541666666667)</f>
        <v>0.6363541667</v>
      </c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12">
        <v>3.44</v>
      </c>
      <c r="B420" s="12">
        <v>226.4</v>
      </c>
      <c r="C420" s="12">
        <v>495.0</v>
      </c>
      <c r="D420" s="12">
        <v>3.32</v>
      </c>
      <c r="E420" s="12">
        <v>0.64</v>
      </c>
      <c r="F420" s="12">
        <v>49.9</v>
      </c>
      <c r="G420" s="13">
        <v>44462.63645613426</v>
      </c>
      <c r="H420" s="14">
        <f>IFERROR(__xludf.DUMMYFUNCTION("SPLIT(G420, "", "")"),44462.0)</f>
        <v>44462</v>
      </c>
      <c r="I420" s="15">
        <f>IFERROR(__xludf.DUMMYFUNCTION("""COMPUTED_VALUE"""),0.6364583333333333)</f>
        <v>0.6364583333</v>
      </c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12">
        <v>3.44</v>
      </c>
      <c r="B421" s="12">
        <v>226.5</v>
      </c>
      <c r="C421" s="12">
        <v>495.0</v>
      </c>
      <c r="D421" s="12">
        <v>3.32</v>
      </c>
      <c r="E421" s="12">
        <v>0.64</v>
      </c>
      <c r="F421" s="12">
        <v>49.9</v>
      </c>
      <c r="G421" s="13">
        <v>44462.63655434028</v>
      </c>
      <c r="H421" s="14">
        <f>IFERROR(__xludf.DUMMYFUNCTION("SPLIT(G421, "", "")"),44462.0)</f>
        <v>44462</v>
      </c>
      <c r="I421" s="15">
        <f>IFERROR(__xludf.DUMMYFUNCTION("""COMPUTED_VALUE"""),0.6365509259259259)</f>
        <v>0.6365509259</v>
      </c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12">
        <v>3.44</v>
      </c>
      <c r="B422" s="12">
        <v>226.6</v>
      </c>
      <c r="C422" s="12">
        <v>495.1</v>
      </c>
      <c r="D422" s="12">
        <v>3.32</v>
      </c>
      <c r="E422" s="12">
        <v>0.63</v>
      </c>
      <c r="F422" s="12">
        <v>49.9</v>
      </c>
      <c r="G422" s="13">
        <v>44462.636652754634</v>
      </c>
      <c r="H422" s="14">
        <f>IFERROR(__xludf.DUMMYFUNCTION("SPLIT(G422, "", "")"),44462.0)</f>
        <v>44462</v>
      </c>
      <c r="I422" s="15">
        <f>IFERROR(__xludf.DUMMYFUNCTION("""COMPUTED_VALUE"""),0.6366550925925926)</f>
        <v>0.6366550926</v>
      </c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12">
        <v>3.44</v>
      </c>
      <c r="B423" s="12">
        <v>226.5</v>
      </c>
      <c r="C423" s="12">
        <v>495.1</v>
      </c>
      <c r="D423" s="12">
        <v>3.32</v>
      </c>
      <c r="E423" s="12">
        <v>0.64</v>
      </c>
      <c r="F423" s="12">
        <v>49.9</v>
      </c>
      <c r="G423" s="13">
        <v>44462.63675447917</v>
      </c>
      <c r="H423" s="14">
        <f>IFERROR(__xludf.DUMMYFUNCTION("SPLIT(G423, "", "")"),44462.0)</f>
        <v>44462</v>
      </c>
      <c r="I423" s="15">
        <f>IFERROR(__xludf.DUMMYFUNCTION("""COMPUTED_VALUE"""),0.6367592592592592)</f>
        <v>0.6367592593</v>
      </c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12">
        <v>3.43</v>
      </c>
      <c r="B424" s="12">
        <v>226.7</v>
      </c>
      <c r="C424" s="12">
        <v>495.2</v>
      </c>
      <c r="D424" s="12">
        <v>3.32</v>
      </c>
      <c r="E424" s="12">
        <v>0.64</v>
      </c>
      <c r="F424" s="12">
        <v>50.0</v>
      </c>
      <c r="G424" s="13">
        <v>44462.6368569676</v>
      </c>
      <c r="H424" s="14">
        <f>IFERROR(__xludf.DUMMYFUNCTION("SPLIT(G424, "", "")"),44462.0)</f>
        <v>44462</v>
      </c>
      <c r="I424" s="15">
        <f>IFERROR(__xludf.DUMMYFUNCTION("""COMPUTED_VALUE"""),0.6368518518518519)</f>
        <v>0.6368518519</v>
      </c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12">
        <v>3.43</v>
      </c>
      <c r="B425" s="12">
        <v>226.8</v>
      </c>
      <c r="C425" s="12">
        <v>495.2</v>
      </c>
      <c r="D425" s="12">
        <v>3.33</v>
      </c>
      <c r="E425" s="12">
        <v>0.64</v>
      </c>
      <c r="F425" s="12">
        <v>50.0</v>
      </c>
      <c r="G425" s="13">
        <v>44462.636982199074</v>
      </c>
      <c r="H425" s="14">
        <f>IFERROR(__xludf.DUMMYFUNCTION("SPLIT(G425, "", "")"),44462.0)</f>
        <v>44462</v>
      </c>
      <c r="I425" s="15">
        <f>IFERROR(__xludf.DUMMYFUNCTION("""COMPUTED_VALUE"""),0.6369791666666667)</f>
        <v>0.6369791667</v>
      </c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12">
        <v>3.44</v>
      </c>
      <c r="B426" s="12">
        <v>226.5</v>
      </c>
      <c r="C426" s="12">
        <v>495.2</v>
      </c>
      <c r="D426" s="12">
        <v>3.33</v>
      </c>
      <c r="E426" s="12">
        <v>0.64</v>
      </c>
      <c r="F426" s="12">
        <v>50.0</v>
      </c>
      <c r="G426" s="13">
        <v>44462.63708518518</v>
      </c>
      <c r="H426" s="14">
        <f>IFERROR(__xludf.DUMMYFUNCTION("SPLIT(G426, "", "")"),44462.0)</f>
        <v>44462</v>
      </c>
      <c r="I426" s="15">
        <f>IFERROR(__xludf.DUMMYFUNCTION("""COMPUTED_VALUE"""),0.6370833333333333)</f>
        <v>0.6370833333</v>
      </c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12">
        <v>3.44</v>
      </c>
      <c r="B427" s="12">
        <v>226.7</v>
      </c>
      <c r="C427" s="12">
        <v>495.4</v>
      </c>
      <c r="D427" s="12">
        <v>3.33</v>
      </c>
      <c r="E427" s="12">
        <v>0.63</v>
      </c>
      <c r="F427" s="12">
        <v>50.0</v>
      </c>
      <c r="G427" s="13">
        <v>44462.63719340278</v>
      </c>
      <c r="H427" s="14">
        <f>IFERROR(__xludf.DUMMYFUNCTION("SPLIT(G427, "", "")"),44462.0)</f>
        <v>44462</v>
      </c>
      <c r="I427" s="15">
        <f>IFERROR(__xludf.DUMMYFUNCTION("""COMPUTED_VALUE"""),0.6371990740740741)</f>
        <v>0.6371990741</v>
      </c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12">
        <v>3.45</v>
      </c>
      <c r="B428" s="12">
        <v>226.8</v>
      </c>
      <c r="C428" s="12">
        <v>495.5</v>
      </c>
      <c r="D428" s="12">
        <v>3.33</v>
      </c>
      <c r="E428" s="12">
        <v>0.63</v>
      </c>
      <c r="F428" s="12">
        <v>50.0</v>
      </c>
      <c r="G428" s="13">
        <v>44462.637297974536</v>
      </c>
      <c r="H428" s="14">
        <f>IFERROR(__xludf.DUMMYFUNCTION("SPLIT(G428, "", "")"),44462.0)</f>
        <v>44462</v>
      </c>
      <c r="I428" s="15">
        <f>IFERROR(__xludf.DUMMYFUNCTION("""COMPUTED_VALUE"""),0.6373032407407407)</f>
        <v>0.6373032407</v>
      </c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12">
        <v>3.43</v>
      </c>
      <c r="B429" s="12">
        <v>227.0</v>
      </c>
      <c r="C429" s="12">
        <v>495.5</v>
      </c>
      <c r="D429" s="12">
        <v>3.33</v>
      </c>
      <c r="E429" s="12">
        <v>0.64</v>
      </c>
      <c r="F429" s="12">
        <v>50.0</v>
      </c>
      <c r="G429" s="13">
        <v>44462.63739525463</v>
      </c>
      <c r="H429" s="14">
        <f>IFERROR(__xludf.DUMMYFUNCTION("SPLIT(G429, "", "")"),44462.0)</f>
        <v>44462</v>
      </c>
      <c r="I429" s="15">
        <f>IFERROR(__xludf.DUMMYFUNCTION("""COMPUTED_VALUE"""),0.6373958333333334)</f>
        <v>0.6373958333</v>
      </c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12">
        <v>3.43</v>
      </c>
      <c r="B430" s="12">
        <v>227.3</v>
      </c>
      <c r="C430" s="12">
        <v>495.6</v>
      </c>
      <c r="D430" s="12">
        <v>3.33</v>
      </c>
      <c r="E430" s="12">
        <v>0.64</v>
      </c>
      <c r="F430" s="12">
        <v>50.0</v>
      </c>
      <c r="G430" s="13">
        <v>44462.63749296297</v>
      </c>
      <c r="H430" s="14">
        <f>IFERROR(__xludf.DUMMYFUNCTION("SPLIT(G430, "", "")"),44462.0)</f>
        <v>44462</v>
      </c>
      <c r="I430" s="15">
        <f>IFERROR(__xludf.DUMMYFUNCTION("""COMPUTED_VALUE"""),0.6374884259259259)</f>
        <v>0.6374884259</v>
      </c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12">
        <v>3.43</v>
      </c>
      <c r="B431" s="12">
        <v>227.3</v>
      </c>
      <c r="C431" s="12">
        <v>495.7</v>
      </c>
      <c r="D431" s="12">
        <v>3.33</v>
      </c>
      <c r="E431" s="12">
        <v>0.63</v>
      </c>
      <c r="F431" s="12">
        <v>50.0</v>
      </c>
      <c r="G431" s="13">
        <v>44462.637592025465</v>
      </c>
      <c r="H431" s="14">
        <f>IFERROR(__xludf.DUMMYFUNCTION("SPLIT(G431, "", "")"),44462.0)</f>
        <v>44462</v>
      </c>
      <c r="I431" s="15">
        <f>IFERROR(__xludf.DUMMYFUNCTION("""COMPUTED_VALUE"""),0.6375925925925926)</f>
        <v>0.6375925926</v>
      </c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12">
        <v>3.43</v>
      </c>
      <c r="B432" s="12">
        <v>227.2</v>
      </c>
      <c r="C432" s="12">
        <v>495.8</v>
      </c>
      <c r="D432" s="12">
        <v>3.33</v>
      </c>
      <c r="E432" s="12">
        <v>0.64</v>
      </c>
      <c r="F432" s="12">
        <v>50.0</v>
      </c>
      <c r="G432" s="13">
        <v>44462.637689930554</v>
      </c>
      <c r="H432" s="14">
        <f>IFERROR(__xludf.DUMMYFUNCTION("SPLIT(G432, "", "")"),44462.0)</f>
        <v>44462</v>
      </c>
      <c r="I432" s="15">
        <f>IFERROR(__xludf.DUMMYFUNCTION("""COMPUTED_VALUE"""),0.6376851851851851)</f>
        <v>0.6376851852</v>
      </c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12">
        <v>3.45</v>
      </c>
      <c r="B433" s="12">
        <v>226.9</v>
      </c>
      <c r="C433" s="12">
        <v>495.8</v>
      </c>
      <c r="D433" s="12">
        <v>3.34</v>
      </c>
      <c r="E433" s="12">
        <v>0.63</v>
      </c>
      <c r="F433" s="12">
        <v>50.0</v>
      </c>
      <c r="G433" s="13">
        <v>44462.63778849537</v>
      </c>
      <c r="H433" s="14">
        <f>IFERROR(__xludf.DUMMYFUNCTION("SPLIT(G433, "", "")"),44462.0)</f>
        <v>44462</v>
      </c>
      <c r="I433" s="15">
        <f>IFERROR(__xludf.DUMMYFUNCTION("""COMPUTED_VALUE"""),0.6377893518518518)</f>
        <v>0.6377893519</v>
      </c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12">
        <v>3.46</v>
      </c>
      <c r="B434" s="12">
        <v>226.9</v>
      </c>
      <c r="C434" s="12">
        <v>495.9</v>
      </c>
      <c r="D434" s="12">
        <v>3.34</v>
      </c>
      <c r="E434" s="12">
        <v>0.63</v>
      </c>
      <c r="F434" s="12">
        <v>50.0</v>
      </c>
      <c r="G434" s="13">
        <v>44462.63788702546</v>
      </c>
      <c r="H434" s="14">
        <f>IFERROR(__xludf.DUMMYFUNCTION("SPLIT(G434, "", "")"),44462.0)</f>
        <v>44462</v>
      </c>
      <c r="I434" s="15">
        <f>IFERROR(__xludf.DUMMYFUNCTION("""COMPUTED_VALUE"""),0.6378819444444445)</f>
        <v>0.6378819444</v>
      </c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12">
        <v>3.46</v>
      </c>
      <c r="B435" s="12">
        <v>226.9</v>
      </c>
      <c r="C435" s="12">
        <v>496.0</v>
      </c>
      <c r="D435" s="12">
        <v>3.34</v>
      </c>
      <c r="E435" s="12">
        <v>0.63</v>
      </c>
      <c r="F435" s="12">
        <v>50.0</v>
      </c>
      <c r="G435" s="13">
        <v>44462.63798679398</v>
      </c>
      <c r="H435" s="14">
        <f>IFERROR(__xludf.DUMMYFUNCTION("SPLIT(G435, "", "")"),44462.0)</f>
        <v>44462</v>
      </c>
      <c r="I435" s="15">
        <f>IFERROR(__xludf.DUMMYFUNCTION("""COMPUTED_VALUE"""),0.6379861111111111)</f>
        <v>0.6379861111</v>
      </c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12">
        <v>3.45</v>
      </c>
      <c r="B436" s="12">
        <v>226.9</v>
      </c>
      <c r="C436" s="12">
        <v>496.0</v>
      </c>
      <c r="D436" s="12">
        <v>3.34</v>
      </c>
      <c r="E436" s="12">
        <v>0.63</v>
      </c>
      <c r="F436" s="12">
        <v>50.0</v>
      </c>
      <c r="G436" s="13">
        <v>44462.63808625</v>
      </c>
      <c r="H436" s="14">
        <f>IFERROR(__xludf.DUMMYFUNCTION("SPLIT(G436, "", "")"),44462.0)</f>
        <v>44462</v>
      </c>
      <c r="I436" s="15">
        <f>IFERROR(__xludf.DUMMYFUNCTION("""COMPUTED_VALUE"""),0.6380902777777778)</f>
        <v>0.6380902778</v>
      </c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12">
        <v>3.45</v>
      </c>
      <c r="B437" s="12">
        <v>227.1</v>
      </c>
      <c r="C437" s="12">
        <v>495.9</v>
      </c>
      <c r="D437" s="12">
        <v>3.34</v>
      </c>
      <c r="E437" s="12">
        <v>0.63</v>
      </c>
      <c r="F437" s="12">
        <v>50.0</v>
      </c>
      <c r="G437" s="13">
        <v>44462.63818810185</v>
      </c>
      <c r="H437" s="14">
        <f>IFERROR(__xludf.DUMMYFUNCTION("SPLIT(G437, "", "")"),44462.0)</f>
        <v>44462</v>
      </c>
      <c r="I437" s="15">
        <f>IFERROR(__xludf.DUMMYFUNCTION("""COMPUTED_VALUE"""),0.6381828703703704)</f>
        <v>0.6381828704</v>
      </c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12">
        <v>3.46</v>
      </c>
      <c r="B438" s="12">
        <v>226.9</v>
      </c>
      <c r="C438" s="12">
        <v>496.0</v>
      </c>
      <c r="D438" s="12">
        <v>3.34</v>
      </c>
      <c r="E438" s="12">
        <v>0.63</v>
      </c>
      <c r="F438" s="12">
        <v>49.9</v>
      </c>
      <c r="G438" s="13">
        <v>44462.638290648145</v>
      </c>
      <c r="H438" s="14">
        <f>IFERROR(__xludf.DUMMYFUNCTION("SPLIT(G438, "", "")"),44462.0)</f>
        <v>44462</v>
      </c>
      <c r="I438" s="15">
        <f>IFERROR(__xludf.DUMMYFUNCTION("""COMPUTED_VALUE"""),0.638287037037037)</f>
        <v>0.638287037</v>
      </c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12">
        <v>3.46</v>
      </c>
      <c r="B439" s="12">
        <v>226.9</v>
      </c>
      <c r="C439" s="12">
        <v>496.2</v>
      </c>
      <c r="D439" s="12">
        <v>3.34</v>
      </c>
      <c r="E439" s="12">
        <v>0.63</v>
      </c>
      <c r="F439" s="12">
        <v>49.9</v>
      </c>
      <c r="G439" s="13">
        <v>44462.63839100694</v>
      </c>
      <c r="H439" s="14">
        <f>IFERROR(__xludf.DUMMYFUNCTION("SPLIT(G439, "", "")"),44462.0)</f>
        <v>44462</v>
      </c>
      <c r="I439" s="15">
        <f>IFERROR(__xludf.DUMMYFUNCTION("""COMPUTED_VALUE"""),0.6383912037037037)</f>
        <v>0.6383912037</v>
      </c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12">
        <v>3.46</v>
      </c>
      <c r="B440" s="12">
        <v>226.9</v>
      </c>
      <c r="C440" s="12">
        <v>496.1</v>
      </c>
      <c r="D440" s="12">
        <v>3.34</v>
      </c>
      <c r="E440" s="12">
        <v>0.63</v>
      </c>
      <c r="F440" s="12">
        <v>49.9</v>
      </c>
      <c r="G440" s="13">
        <v>44462.6384903125</v>
      </c>
      <c r="H440" s="14">
        <f>IFERROR(__xludf.DUMMYFUNCTION("SPLIT(G440, "", "")"),44462.0)</f>
        <v>44462</v>
      </c>
      <c r="I440" s="15">
        <f>IFERROR(__xludf.DUMMYFUNCTION("""COMPUTED_VALUE"""),0.6384953703703704)</f>
        <v>0.6384953704</v>
      </c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12">
        <v>3.45</v>
      </c>
      <c r="B441" s="12">
        <v>226.9</v>
      </c>
      <c r="C441" s="12">
        <v>496.2</v>
      </c>
      <c r="D441" s="12">
        <v>3.35</v>
      </c>
      <c r="E441" s="12">
        <v>0.63</v>
      </c>
      <c r="F441" s="12">
        <v>49.9</v>
      </c>
      <c r="G441" s="13">
        <v>44462.63858878472</v>
      </c>
      <c r="H441" s="14">
        <f>IFERROR(__xludf.DUMMYFUNCTION("SPLIT(G441, "", "")"),44462.0)</f>
        <v>44462</v>
      </c>
      <c r="I441" s="15">
        <f>IFERROR(__xludf.DUMMYFUNCTION("""COMPUTED_VALUE"""),0.6385879629629629)</f>
        <v>0.638587963</v>
      </c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12">
        <v>3.46</v>
      </c>
      <c r="B442" s="12">
        <v>226.7</v>
      </c>
      <c r="C442" s="12">
        <v>496.3</v>
      </c>
      <c r="D442" s="12">
        <v>3.35</v>
      </c>
      <c r="E442" s="12">
        <v>0.63</v>
      </c>
      <c r="F442" s="12">
        <v>50.0</v>
      </c>
      <c r="G442" s="13">
        <v>44462.638688113424</v>
      </c>
      <c r="H442" s="14">
        <f>IFERROR(__xludf.DUMMYFUNCTION("SPLIT(G442, "", "")"),44462.0)</f>
        <v>44462</v>
      </c>
      <c r="I442" s="15">
        <f>IFERROR(__xludf.DUMMYFUNCTION("""COMPUTED_VALUE"""),0.6386921296296296)</f>
        <v>0.6386921296</v>
      </c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12">
        <v>3.47</v>
      </c>
      <c r="B443" s="12">
        <v>226.4</v>
      </c>
      <c r="C443" s="12">
        <v>496.3</v>
      </c>
      <c r="D443" s="12">
        <v>3.35</v>
      </c>
      <c r="E443" s="12">
        <v>0.63</v>
      </c>
      <c r="F443" s="12">
        <v>49.9</v>
      </c>
      <c r="G443" s="13">
        <v>44462.63878974537</v>
      </c>
      <c r="H443" s="14">
        <f>IFERROR(__xludf.DUMMYFUNCTION("SPLIT(G443, "", "")"),44462.0)</f>
        <v>44462</v>
      </c>
      <c r="I443" s="15">
        <f>IFERROR(__xludf.DUMMYFUNCTION("""COMPUTED_VALUE"""),0.6387847222222223)</f>
        <v>0.6387847222</v>
      </c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12">
        <v>3.46</v>
      </c>
      <c r="B444" s="12">
        <v>226.6</v>
      </c>
      <c r="C444" s="12">
        <v>496.3</v>
      </c>
      <c r="D444" s="12">
        <v>3.35</v>
      </c>
      <c r="E444" s="12">
        <v>0.63</v>
      </c>
      <c r="F444" s="12">
        <v>50.0</v>
      </c>
      <c r="G444" s="13">
        <v>44462.63889299768</v>
      </c>
      <c r="H444" s="14">
        <f>IFERROR(__xludf.DUMMYFUNCTION("SPLIT(G444, "", "")"),44462.0)</f>
        <v>44462</v>
      </c>
      <c r="I444" s="15">
        <f>IFERROR(__xludf.DUMMYFUNCTION("""COMPUTED_VALUE"""),0.6388888888888888)</f>
        <v>0.6388888889</v>
      </c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12">
        <v>3.46</v>
      </c>
      <c r="B445" s="12">
        <v>226.7</v>
      </c>
      <c r="C445" s="12">
        <v>496.4</v>
      </c>
      <c r="D445" s="12">
        <v>3.35</v>
      </c>
      <c r="E445" s="12">
        <v>0.63</v>
      </c>
      <c r="F445" s="12">
        <v>49.9</v>
      </c>
      <c r="G445" s="13">
        <v>44462.638999097224</v>
      </c>
      <c r="H445" s="14">
        <f>IFERROR(__xludf.DUMMYFUNCTION("SPLIT(G445, "", "")"),44462.0)</f>
        <v>44462</v>
      </c>
      <c r="I445" s="15">
        <f>IFERROR(__xludf.DUMMYFUNCTION("""COMPUTED_VALUE"""),0.6390046296296297)</f>
        <v>0.6390046296</v>
      </c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12">
        <v>3.46</v>
      </c>
      <c r="B446" s="12">
        <v>226.5</v>
      </c>
      <c r="C446" s="12">
        <v>496.3</v>
      </c>
      <c r="D446" s="12">
        <v>3.35</v>
      </c>
      <c r="E446" s="12">
        <v>0.63</v>
      </c>
      <c r="F446" s="12">
        <v>50.0</v>
      </c>
      <c r="G446" s="13">
        <v>44462.639099039356</v>
      </c>
      <c r="H446" s="14">
        <f>IFERROR(__xludf.DUMMYFUNCTION("SPLIT(G446, "", "")"),44462.0)</f>
        <v>44462</v>
      </c>
      <c r="I446" s="15">
        <f>IFERROR(__xludf.DUMMYFUNCTION("""COMPUTED_VALUE"""),0.6390972222222222)</f>
        <v>0.6390972222</v>
      </c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12">
        <v>3.46</v>
      </c>
      <c r="B447" s="12">
        <v>226.3</v>
      </c>
      <c r="C447" s="12">
        <v>496.4</v>
      </c>
      <c r="D447" s="12">
        <v>3.35</v>
      </c>
      <c r="E447" s="12">
        <v>0.63</v>
      </c>
      <c r="F447" s="12">
        <v>50.0</v>
      </c>
      <c r="G447" s="13">
        <v>44462.63920355324</v>
      </c>
      <c r="H447" s="14">
        <f>IFERROR(__xludf.DUMMYFUNCTION("SPLIT(G447, "", "")"),44462.0)</f>
        <v>44462</v>
      </c>
      <c r="I447" s="15">
        <f>IFERROR(__xludf.DUMMYFUNCTION("""COMPUTED_VALUE"""),0.6392013888888889)</f>
        <v>0.6392013889</v>
      </c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12">
        <v>3.46</v>
      </c>
      <c r="B448" s="12">
        <v>226.4</v>
      </c>
      <c r="C448" s="12">
        <v>496.5</v>
      </c>
      <c r="D448" s="12">
        <v>3.35</v>
      </c>
      <c r="E448" s="12">
        <v>0.63</v>
      </c>
      <c r="F448" s="12">
        <v>50.0</v>
      </c>
      <c r="G448" s="13">
        <v>44462.6393084375</v>
      </c>
      <c r="H448" s="14">
        <f>IFERROR(__xludf.DUMMYFUNCTION("SPLIT(G448, "", "")"),44462.0)</f>
        <v>44462</v>
      </c>
      <c r="I448" s="15">
        <f>IFERROR(__xludf.DUMMYFUNCTION("""COMPUTED_VALUE"""),0.6393055555555556)</f>
        <v>0.6393055556</v>
      </c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12">
        <v>3.46</v>
      </c>
      <c r="B449" s="12">
        <v>226.5</v>
      </c>
      <c r="C449" s="12">
        <v>496.6</v>
      </c>
      <c r="D449" s="12">
        <v>3.36</v>
      </c>
      <c r="E449" s="12">
        <v>0.63</v>
      </c>
      <c r="F449" s="12">
        <v>49.9</v>
      </c>
      <c r="G449" s="13">
        <v>44462.639412199074</v>
      </c>
      <c r="H449" s="14">
        <f>IFERROR(__xludf.DUMMYFUNCTION("SPLIT(G449, "", "")"),44462.0)</f>
        <v>44462</v>
      </c>
      <c r="I449" s="15">
        <f>IFERROR(__xludf.DUMMYFUNCTION("""COMPUTED_VALUE"""),0.6394097222222223)</f>
        <v>0.6394097222</v>
      </c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12">
        <v>3.46</v>
      </c>
      <c r="B450" s="12">
        <v>226.3</v>
      </c>
      <c r="C450" s="12">
        <v>496.6</v>
      </c>
      <c r="D450" s="12">
        <v>3.36</v>
      </c>
      <c r="E450" s="12">
        <v>0.63</v>
      </c>
      <c r="F450" s="12">
        <v>50.0</v>
      </c>
      <c r="G450" s="13">
        <v>44462.639518703705</v>
      </c>
      <c r="H450" s="14">
        <f>IFERROR(__xludf.DUMMYFUNCTION("SPLIT(G450, "", "")"),44462.0)</f>
        <v>44462</v>
      </c>
      <c r="I450" s="15">
        <f>IFERROR(__xludf.DUMMYFUNCTION("""COMPUTED_VALUE"""),0.6395138888888889)</f>
        <v>0.6395138889</v>
      </c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12">
        <v>3.46</v>
      </c>
      <c r="B451" s="12">
        <v>226.4</v>
      </c>
      <c r="C451" s="12">
        <v>496.6</v>
      </c>
      <c r="D451" s="12">
        <v>3.36</v>
      </c>
      <c r="E451" s="12">
        <v>0.63</v>
      </c>
      <c r="F451" s="12">
        <v>49.9</v>
      </c>
      <c r="G451" s="13">
        <v>44462.63961990741</v>
      </c>
      <c r="H451" s="14">
        <f>IFERROR(__xludf.DUMMYFUNCTION("SPLIT(G451, "", "")"),44462.0)</f>
        <v>44462</v>
      </c>
      <c r="I451" s="15">
        <f>IFERROR(__xludf.DUMMYFUNCTION("""COMPUTED_VALUE"""),0.6396180555555555)</f>
        <v>0.6396180556</v>
      </c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12">
        <v>3.47</v>
      </c>
      <c r="B452" s="12">
        <v>226.3</v>
      </c>
      <c r="C452" s="12">
        <v>496.7</v>
      </c>
      <c r="D452" s="12">
        <v>3.36</v>
      </c>
      <c r="E452" s="12">
        <v>0.63</v>
      </c>
      <c r="F452" s="12">
        <v>50.0</v>
      </c>
      <c r="G452" s="13">
        <v>44462.63971754629</v>
      </c>
      <c r="H452" s="14">
        <f>IFERROR(__xludf.DUMMYFUNCTION("SPLIT(G452, "", "")"),44462.0)</f>
        <v>44462</v>
      </c>
      <c r="I452" s="15">
        <f>IFERROR(__xludf.DUMMYFUNCTION("""COMPUTED_VALUE"""),0.6397222222222222)</f>
        <v>0.6397222222</v>
      </c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12">
        <v>3.46</v>
      </c>
      <c r="B453" s="12">
        <v>226.4</v>
      </c>
      <c r="C453" s="12">
        <v>496.8</v>
      </c>
      <c r="D453" s="12">
        <v>3.36</v>
      </c>
      <c r="E453" s="12">
        <v>0.63</v>
      </c>
      <c r="F453" s="12">
        <v>49.9</v>
      </c>
      <c r="G453" s="13">
        <v>44462.639824108795</v>
      </c>
      <c r="H453" s="14">
        <f>IFERROR(__xludf.DUMMYFUNCTION("SPLIT(G453, "", "")"),44462.0)</f>
        <v>44462</v>
      </c>
      <c r="I453" s="15">
        <f>IFERROR(__xludf.DUMMYFUNCTION("""COMPUTED_VALUE"""),0.6398263888888889)</f>
        <v>0.6398263889</v>
      </c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12">
        <v>3.46</v>
      </c>
      <c r="B454" s="12">
        <v>226.4</v>
      </c>
      <c r="C454" s="12">
        <v>496.7</v>
      </c>
      <c r="D454" s="12">
        <v>3.36</v>
      </c>
      <c r="E454" s="12">
        <v>0.63</v>
      </c>
      <c r="F454" s="12">
        <v>50.0</v>
      </c>
      <c r="G454" s="13">
        <v>44462.63992572916</v>
      </c>
      <c r="H454" s="14">
        <f>IFERROR(__xludf.DUMMYFUNCTION("SPLIT(G454, "", "")"),44462.0)</f>
        <v>44462</v>
      </c>
      <c r="I454" s="15">
        <f>IFERROR(__xludf.DUMMYFUNCTION("""COMPUTED_VALUE"""),0.6399305555555556)</f>
        <v>0.6399305556</v>
      </c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12">
        <v>3.46</v>
      </c>
      <c r="B455" s="12">
        <v>226.4</v>
      </c>
      <c r="C455" s="12">
        <v>496.9</v>
      </c>
      <c r="D455" s="12">
        <v>3.36</v>
      </c>
      <c r="E455" s="12">
        <v>0.63</v>
      </c>
      <c r="F455" s="12">
        <v>49.9</v>
      </c>
      <c r="G455" s="13">
        <v>44462.64002827546</v>
      </c>
      <c r="H455" s="14">
        <f>IFERROR(__xludf.DUMMYFUNCTION("SPLIT(G455, "", "")"),44462.0)</f>
        <v>44462</v>
      </c>
      <c r="I455" s="15">
        <f>IFERROR(__xludf.DUMMYFUNCTION("""COMPUTED_VALUE"""),0.6400231481481482)</f>
        <v>0.6400231481</v>
      </c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12">
        <v>3.48</v>
      </c>
      <c r="B456" s="12">
        <v>226.2</v>
      </c>
      <c r="C456" s="12">
        <v>496.9</v>
      </c>
      <c r="D456" s="12">
        <v>3.36</v>
      </c>
      <c r="E456" s="12">
        <v>0.63</v>
      </c>
      <c r="F456" s="12">
        <v>50.0</v>
      </c>
      <c r="G456" s="13">
        <v>44462.640132395834</v>
      </c>
      <c r="H456" s="14">
        <f>IFERROR(__xludf.DUMMYFUNCTION("SPLIT(G456, "", "")"),44462.0)</f>
        <v>44462</v>
      </c>
      <c r="I456" s="15">
        <f>IFERROR(__xludf.DUMMYFUNCTION("""COMPUTED_VALUE"""),0.6401273148148148)</f>
        <v>0.6401273148</v>
      </c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12">
        <v>3.47</v>
      </c>
      <c r="B457" s="12">
        <v>226.2</v>
      </c>
      <c r="C457" s="12">
        <v>496.9</v>
      </c>
      <c r="D457" s="12">
        <v>3.37</v>
      </c>
      <c r="E457" s="12">
        <v>0.63</v>
      </c>
      <c r="F457" s="12">
        <v>49.9</v>
      </c>
      <c r="G457" s="13">
        <v>44462.64023163194</v>
      </c>
      <c r="H457" s="14">
        <f>IFERROR(__xludf.DUMMYFUNCTION("SPLIT(G457, "", "")"),44462.0)</f>
        <v>44462</v>
      </c>
      <c r="I457" s="15">
        <f>IFERROR(__xludf.DUMMYFUNCTION("""COMPUTED_VALUE"""),0.6402314814814815)</f>
        <v>0.6402314815</v>
      </c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12">
        <v>3.47</v>
      </c>
      <c r="B458" s="12">
        <v>226.2</v>
      </c>
      <c r="C458" s="12">
        <v>497.0</v>
      </c>
      <c r="D458" s="12">
        <v>3.37</v>
      </c>
      <c r="E458" s="12">
        <v>0.63</v>
      </c>
      <c r="F458" s="12">
        <v>49.9</v>
      </c>
      <c r="G458" s="13">
        <v>44462.64032831018</v>
      </c>
      <c r="H458" s="14">
        <f>IFERROR(__xludf.DUMMYFUNCTION("SPLIT(G458, "", "")"),44462.0)</f>
        <v>44462</v>
      </c>
      <c r="I458" s="15">
        <f>IFERROR(__xludf.DUMMYFUNCTION("""COMPUTED_VALUE"""),0.6403240740740741)</f>
        <v>0.6403240741</v>
      </c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12">
        <v>3.46</v>
      </c>
      <c r="B459" s="12">
        <v>226.6</v>
      </c>
      <c r="C459" s="12">
        <v>497.1</v>
      </c>
      <c r="D459" s="12">
        <v>3.37</v>
      </c>
      <c r="E459" s="12">
        <v>0.63</v>
      </c>
      <c r="F459" s="12">
        <v>49.9</v>
      </c>
      <c r="G459" s="13">
        <v>44462.64042791667</v>
      </c>
      <c r="H459" s="14">
        <f>IFERROR(__xludf.DUMMYFUNCTION("SPLIT(G459, "", "")"),44462.0)</f>
        <v>44462</v>
      </c>
      <c r="I459" s="15">
        <f>IFERROR(__xludf.DUMMYFUNCTION("""COMPUTED_VALUE"""),0.6404282407407408)</f>
        <v>0.6404282407</v>
      </c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12">
        <v>3.45</v>
      </c>
      <c r="B460" s="12">
        <v>226.6</v>
      </c>
      <c r="C460" s="12">
        <v>497.2</v>
      </c>
      <c r="D460" s="12">
        <v>3.37</v>
      </c>
      <c r="E460" s="12">
        <v>0.64</v>
      </c>
      <c r="F460" s="12">
        <v>49.9</v>
      </c>
      <c r="G460" s="13">
        <v>44462.64052747685</v>
      </c>
      <c r="H460" s="14">
        <f>IFERROR(__xludf.DUMMYFUNCTION("SPLIT(G460, "", "")"),44462.0)</f>
        <v>44462</v>
      </c>
      <c r="I460" s="15">
        <f>IFERROR(__xludf.DUMMYFUNCTION("""COMPUTED_VALUE"""),0.6405324074074074)</f>
        <v>0.6405324074</v>
      </c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12">
        <v>3.45</v>
      </c>
      <c r="B461" s="12">
        <v>226.7</v>
      </c>
      <c r="C461" s="12">
        <v>497.2</v>
      </c>
      <c r="D461" s="12">
        <v>3.37</v>
      </c>
      <c r="E461" s="12">
        <v>0.64</v>
      </c>
      <c r="F461" s="12">
        <v>49.9</v>
      </c>
      <c r="G461" s="13">
        <v>44462.6406241088</v>
      </c>
      <c r="H461" s="14">
        <f>IFERROR(__xludf.DUMMYFUNCTION("SPLIT(G461, "", "")"),44462.0)</f>
        <v>44462</v>
      </c>
      <c r="I461" s="15">
        <f>IFERROR(__xludf.DUMMYFUNCTION("""COMPUTED_VALUE"""),0.640625)</f>
        <v>0.640625</v>
      </c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12">
        <v>3.45</v>
      </c>
      <c r="B462" s="12">
        <v>226.8</v>
      </c>
      <c r="C462" s="12">
        <v>497.2</v>
      </c>
      <c r="D462" s="12">
        <v>3.37</v>
      </c>
      <c r="E462" s="12">
        <v>0.64</v>
      </c>
      <c r="F462" s="12">
        <v>50.0</v>
      </c>
      <c r="G462" s="13">
        <v>44462.6407228125</v>
      </c>
      <c r="H462" s="14">
        <f>IFERROR(__xludf.DUMMYFUNCTION("SPLIT(G462, "", "")"),44462.0)</f>
        <v>44462</v>
      </c>
      <c r="I462" s="15">
        <f>IFERROR(__xludf.DUMMYFUNCTION("""COMPUTED_VALUE"""),0.6407175925925926)</f>
        <v>0.6407175926</v>
      </c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12">
        <v>3.46</v>
      </c>
      <c r="B463" s="12">
        <v>226.7</v>
      </c>
      <c r="C463" s="12">
        <v>497.3</v>
      </c>
      <c r="D463" s="12">
        <v>3.37</v>
      </c>
      <c r="E463" s="12">
        <v>0.63</v>
      </c>
      <c r="F463" s="12">
        <v>50.0</v>
      </c>
      <c r="G463" s="13">
        <v>44462.640820243054</v>
      </c>
      <c r="H463" s="14">
        <f>IFERROR(__xludf.DUMMYFUNCTION("SPLIT(G463, "", "")"),44462.0)</f>
        <v>44462</v>
      </c>
      <c r="I463" s="15">
        <f>IFERROR(__xludf.DUMMYFUNCTION("""COMPUTED_VALUE"""),0.6408217592592592)</f>
        <v>0.6408217593</v>
      </c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12">
        <v>3.45</v>
      </c>
      <c r="B464" s="12">
        <v>226.7</v>
      </c>
      <c r="C464" s="12">
        <v>497.3</v>
      </c>
      <c r="D464" s="12">
        <v>3.37</v>
      </c>
      <c r="E464" s="12">
        <v>0.64</v>
      </c>
      <c r="F464" s="12">
        <v>50.0</v>
      </c>
      <c r="G464" s="13">
        <v>44462.640917557874</v>
      </c>
      <c r="H464" s="14">
        <f>IFERROR(__xludf.DUMMYFUNCTION("SPLIT(G464, "", "")"),44462.0)</f>
        <v>44462</v>
      </c>
      <c r="I464" s="15">
        <f>IFERROR(__xludf.DUMMYFUNCTION("""COMPUTED_VALUE"""),0.6409143518518519)</f>
        <v>0.6409143519</v>
      </c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12">
        <v>3.45</v>
      </c>
      <c r="B465" s="12">
        <v>226.7</v>
      </c>
      <c r="C465" s="12">
        <v>497.4</v>
      </c>
      <c r="D465" s="12">
        <v>3.37</v>
      </c>
      <c r="E465" s="12">
        <v>0.64</v>
      </c>
      <c r="F465" s="12">
        <v>50.0</v>
      </c>
      <c r="G465" s="13">
        <v>44462.641016747686</v>
      </c>
      <c r="H465" s="14">
        <f>IFERROR(__xludf.DUMMYFUNCTION("SPLIT(G465, "", "")"),44462.0)</f>
        <v>44462</v>
      </c>
      <c r="I465" s="15">
        <f>IFERROR(__xludf.DUMMYFUNCTION("""COMPUTED_VALUE"""),0.6410185185185185)</f>
        <v>0.6410185185</v>
      </c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12">
        <v>3.46</v>
      </c>
      <c r="B466" s="12">
        <v>226.6</v>
      </c>
      <c r="C466" s="12">
        <v>497.5</v>
      </c>
      <c r="D466" s="12">
        <v>3.38</v>
      </c>
      <c r="E466" s="12">
        <v>0.64</v>
      </c>
      <c r="F466" s="12">
        <v>50.0</v>
      </c>
      <c r="G466" s="13">
        <v>44462.64111943287</v>
      </c>
      <c r="H466" s="14">
        <f>IFERROR(__xludf.DUMMYFUNCTION("SPLIT(G466, "", "")"),44462.0)</f>
        <v>44462</v>
      </c>
      <c r="I466" s="15">
        <f>IFERROR(__xludf.DUMMYFUNCTION("""COMPUTED_VALUE"""),0.6411226851851852)</f>
        <v>0.6411226852</v>
      </c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12">
        <v>3.45</v>
      </c>
      <c r="B467" s="12">
        <v>226.8</v>
      </c>
      <c r="C467" s="12">
        <v>497.5</v>
      </c>
      <c r="D467" s="12">
        <v>3.38</v>
      </c>
      <c r="E467" s="12">
        <v>0.64</v>
      </c>
      <c r="F467" s="12">
        <v>50.0</v>
      </c>
      <c r="G467" s="13">
        <v>44462.641227314816</v>
      </c>
      <c r="H467" s="14">
        <f>IFERROR(__xludf.DUMMYFUNCTION("SPLIT(G467, "", "")"),44462.0)</f>
        <v>44462</v>
      </c>
      <c r="I467" s="15">
        <f>IFERROR(__xludf.DUMMYFUNCTION("""COMPUTED_VALUE"""),0.6412268518518518)</f>
        <v>0.6412268519</v>
      </c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12">
        <v>3.46</v>
      </c>
      <c r="B468" s="12">
        <v>226.7</v>
      </c>
      <c r="C468" s="12">
        <v>497.6</v>
      </c>
      <c r="D468" s="12">
        <v>3.38</v>
      </c>
      <c r="E468" s="12">
        <v>0.63</v>
      </c>
      <c r="F468" s="12">
        <v>50.0</v>
      </c>
      <c r="G468" s="13">
        <v>44462.64132491898</v>
      </c>
      <c r="H468" s="14">
        <f>IFERROR(__xludf.DUMMYFUNCTION("SPLIT(G468, "", "")"),44462.0)</f>
        <v>44462</v>
      </c>
      <c r="I468" s="15">
        <f>IFERROR(__xludf.DUMMYFUNCTION("""COMPUTED_VALUE"""),0.6413194444444444)</f>
        <v>0.6413194444</v>
      </c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12">
        <v>3.46</v>
      </c>
      <c r="B469" s="12">
        <v>226.7</v>
      </c>
      <c r="C469" s="12">
        <v>497.6</v>
      </c>
      <c r="D469" s="12">
        <v>3.38</v>
      </c>
      <c r="E469" s="12">
        <v>0.63</v>
      </c>
      <c r="F469" s="12">
        <v>49.9</v>
      </c>
      <c r="G469" s="13">
        <v>44462.641424988426</v>
      </c>
      <c r="H469" s="14">
        <f>IFERROR(__xludf.DUMMYFUNCTION("SPLIT(G469, "", "")"),44462.0)</f>
        <v>44462</v>
      </c>
      <c r="I469" s="15">
        <f>IFERROR(__xludf.DUMMYFUNCTION("""COMPUTED_VALUE"""),0.6414236111111111)</f>
        <v>0.6414236111</v>
      </c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12">
        <v>3.46</v>
      </c>
      <c r="B470" s="12">
        <v>226.7</v>
      </c>
      <c r="C470" s="12">
        <v>497.6</v>
      </c>
      <c r="D470" s="12">
        <v>3.38</v>
      </c>
      <c r="E470" s="12">
        <v>0.63</v>
      </c>
      <c r="F470" s="12">
        <v>50.0</v>
      </c>
      <c r="G470" s="13">
        <v>44462.64152346065</v>
      </c>
      <c r="H470" s="14">
        <f>IFERROR(__xludf.DUMMYFUNCTION("SPLIT(G470, "", "")"),44462.0)</f>
        <v>44462</v>
      </c>
      <c r="I470" s="15">
        <f>IFERROR(__xludf.DUMMYFUNCTION("""COMPUTED_VALUE"""),0.6415277777777778)</f>
        <v>0.6415277778</v>
      </c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12">
        <v>3.46</v>
      </c>
      <c r="B471" s="12">
        <v>226.5</v>
      </c>
      <c r="C471" s="12">
        <v>497.6</v>
      </c>
      <c r="D471" s="12">
        <v>3.38</v>
      </c>
      <c r="E471" s="12">
        <v>0.63</v>
      </c>
      <c r="F471" s="12">
        <v>49.9</v>
      </c>
      <c r="G471" s="13">
        <v>44462.641623993055</v>
      </c>
      <c r="H471" s="14">
        <f>IFERROR(__xludf.DUMMYFUNCTION("SPLIT(G471, "", "")"),44462.0)</f>
        <v>44462</v>
      </c>
      <c r="I471" s="15">
        <f>IFERROR(__xludf.DUMMYFUNCTION("""COMPUTED_VALUE"""),0.6416203703703703)</f>
        <v>0.6416203704</v>
      </c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12">
        <v>3.46</v>
      </c>
      <c r="B472" s="12">
        <v>226.5</v>
      </c>
      <c r="C472" s="12">
        <v>497.7</v>
      </c>
      <c r="D472" s="12">
        <v>3.38</v>
      </c>
      <c r="E472" s="12">
        <v>0.64</v>
      </c>
      <c r="F472" s="12">
        <v>49.9</v>
      </c>
      <c r="G472" s="13">
        <v>44462.64172564815</v>
      </c>
      <c r="H472" s="14">
        <f>IFERROR(__xludf.DUMMYFUNCTION("SPLIT(G472, "", "")"),44462.0)</f>
        <v>44462</v>
      </c>
      <c r="I472" s="15">
        <f>IFERROR(__xludf.DUMMYFUNCTION("""COMPUTED_VALUE"""),0.641724537037037)</f>
        <v>0.641724537</v>
      </c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12">
        <v>3.46</v>
      </c>
      <c r="B473" s="12">
        <v>226.5</v>
      </c>
      <c r="C473" s="12">
        <v>497.7</v>
      </c>
      <c r="D473" s="12">
        <v>3.38</v>
      </c>
      <c r="E473" s="12">
        <v>0.63</v>
      </c>
      <c r="F473" s="12">
        <v>49.9</v>
      </c>
      <c r="G473" s="13">
        <v>44462.64182143519</v>
      </c>
      <c r="H473" s="14">
        <f>IFERROR(__xludf.DUMMYFUNCTION("SPLIT(G473, "", "")"),44462.0)</f>
        <v>44462</v>
      </c>
      <c r="I473" s="15">
        <f>IFERROR(__xludf.DUMMYFUNCTION("""COMPUTED_VALUE"""),0.6418171296296297)</f>
        <v>0.6418171296</v>
      </c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12">
        <v>3.46</v>
      </c>
      <c r="B474" s="12">
        <v>226.4</v>
      </c>
      <c r="C474" s="12">
        <v>497.8</v>
      </c>
      <c r="D474" s="12">
        <v>3.38</v>
      </c>
      <c r="E474" s="12">
        <v>0.64</v>
      </c>
      <c r="F474" s="12">
        <v>49.9</v>
      </c>
      <c r="G474" s="13">
        <v>44462.64191763889</v>
      </c>
      <c r="H474" s="14">
        <f>IFERROR(__xludf.DUMMYFUNCTION("SPLIT(G474, "", "")"),44462.0)</f>
        <v>44462</v>
      </c>
      <c r="I474" s="15">
        <f>IFERROR(__xludf.DUMMYFUNCTION("""COMPUTED_VALUE"""),0.6419212962962964)</f>
        <v>0.6419212963</v>
      </c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12">
        <v>3.47</v>
      </c>
      <c r="B475" s="12">
        <v>226.5</v>
      </c>
      <c r="C475" s="12">
        <v>498.0</v>
      </c>
      <c r="D475" s="12">
        <v>3.39</v>
      </c>
      <c r="E475" s="12">
        <v>0.63</v>
      </c>
      <c r="F475" s="12">
        <v>49.9</v>
      </c>
      <c r="G475" s="13">
        <v>44462.64201469907</v>
      </c>
      <c r="H475" s="14">
        <f>IFERROR(__xludf.DUMMYFUNCTION("SPLIT(G475, "", "")"),44462.0)</f>
        <v>44462</v>
      </c>
      <c r="I475" s="15">
        <f>IFERROR(__xludf.DUMMYFUNCTION("""COMPUTED_VALUE"""),0.6420138888888889)</f>
        <v>0.6420138889</v>
      </c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12">
        <v>3.47</v>
      </c>
      <c r="B476" s="12">
        <v>226.4</v>
      </c>
      <c r="C476" s="12">
        <v>498.0</v>
      </c>
      <c r="D476" s="12">
        <v>3.39</v>
      </c>
      <c r="E476" s="12">
        <v>0.63</v>
      </c>
      <c r="F476" s="12">
        <v>49.9</v>
      </c>
      <c r="G476" s="13">
        <v>44462.64211207176</v>
      </c>
      <c r="H476" s="14">
        <f>IFERROR(__xludf.DUMMYFUNCTION("SPLIT(G476, "", "")"),44462.0)</f>
        <v>44462</v>
      </c>
      <c r="I476" s="15">
        <f>IFERROR(__xludf.DUMMYFUNCTION("""COMPUTED_VALUE"""),0.6421064814814815)</f>
        <v>0.6421064815</v>
      </c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12">
        <v>3.47</v>
      </c>
      <c r="B477" s="12">
        <v>226.5</v>
      </c>
      <c r="C477" s="12">
        <v>498.0</v>
      </c>
      <c r="D477" s="12">
        <v>3.39</v>
      </c>
      <c r="E477" s="12">
        <v>0.63</v>
      </c>
      <c r="F477" s="12">
        <v>49.9</v>
      </c>
      <c r="G477" s="13">
        <v>44462.642212280094</v>
      </c>
      <c r="H477" s="14">
        <f>IFERROR(__xludf.DUMMYFUNCTION("SPLIT(G477, "", "")"),44462.0)</f>
        <v>44462</v>
      </c>
      <c r="I477" s="15">
        <f>IFERROR(__xludf.DUMMYFUNCTION("""COMPUTED_VALUE"""),0.6422106481481481)</f>
        <v>0.6422106481</v>
      </c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12">
        <v>3.46</v>
      </c>
      <c r="B478" s="12">
        <v>226.5</v>
      </c>
      <c r="C478" s="12">
        <v>498.1</v>
      </c>
      <c r="D478" s="12">
        <v>3.39</v>
      </c>
      <c r="E478" s="12">
        <v>0.64</v>
      </c>
      <c r="F478" s="12">
        <v>50.0</v>
      </c>
      <c r="G478" s="13">
        <v>44462.64231810185</v>
      </c>
      <c r="H478" s="14">
        <f>IFERROR(__xludf.DUMMYFUNCTION("SPLIT(G478, "", "")"),44462.0)</f>
        <v>44462</v>
      </c>
      <c r="I478" s="15">
        <f>IFERROR(__xludf.DUMMYFUNCTION("""COMPUTED_VALUE"""),0.6423148148148148)</f>
        <v>0.6423148148</v>
      </c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12">
        <v>3.46</v>
      </c>
      <c r="B479" s="12">
        <v>226.7</v>
      </c>
      <c r="C479" s="12">
        <v>498.1</v>
      </c>
      <c r="D479" s="12">
        <v>3.39</v>
      </c>
      <c r="E479" s="12">
        <v>0.63</v>
      </c>
      <c r="F479" s="12">
        <v>50.0</v>
      </c>
      <c r="G479" s="13">
        <v>44462.64242270833</v>
      </c>
      <c r="H479" s="14">
        <f>IFERROR(__xludf.DUMMYFUNCTION("SPLIT(G479, "", "")"),44462.0)</f>
        <v>44462</v>
      </c>
      <c r="I479" s="15">
        <f>IFERROR(__xludf.DUMMYFUNCTION("""COMPUTED_VALUE"""),0.6424189814814815)</f>
        <v>0.6424189815</v>
      </c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12">
        <v>3.47</v>
      </c>
      <c r="B480" s="12">
        <v>226.6</v>
      </c>
      <c r="C480" s="12">
        <v>498.1</v>
      </c>
      <c r="D480" s="12">
        <v>3.39</v>
      </c>
      <c r="E480" s="12">
        <v>0.63</v>
      </c>
      <c r="F480" s="12">
        <v>50.0</v>
      </c>
      <c r="G480" s="13">
        <v>44462.64251997686</v>
      </c>
      <c r="H480" s="14">
        <f>IFERROR(__xludf.DUMMYFUNCTION("SPLIT(G480, "", "")"),44462.0)</f>
        <v>44462</v>
      </c>
      <c r="I480" s="15">
        <f>IFERROR(__xludf.DUMMYFUNCTION("""COMPUTED_VALUE"""),0.6425231481481481)</f>
        <v>0.6425231481</v>
      </c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12">
        <v>3.46</v>
      </c>
      <c r="B481" s="12">
        <v>226.6</v>
      </c>
      <c r="C481" s="12">
        <v>498.2</v>
      </c>
      <c r="D481" s="12">
        <v>3.39</v>
      </c>
      <c r="E481" s="12">
        <v>0.63</v>
      </c>
      <c r="F481" s="12">
        <v>50.0</v>
      </c>
      <c r="G481" s="13">
        <v>44462.6426197338</v>
      </c>
      <c r="H481" s="14">
        <f>IFERROR(__xludf.DUMMYFUNCTION("SPLIT(G481, "", "")"),44462.0)</f>
        <v>44462</v>
      </c>
      <c r="I481" s="15">
        <f>IFERROR(__xludf.DUMMYFUNCTION("""COMPUTED_VALUE"""),0.6426157407407408)</f>
        <v>0.6426157407</v>
      </c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12">
        <v>3.46</v>
      </c>
      <c r="B482" s="12">
        <v>226.9</v>
      </c>
      <c r="C482" s="12">
        <v>498.3</v>
      </c>
      <c r="D482" s="12">
        <v>3.39</v>
      </c>
      <c r="E482" s="12">
        <v>0.64</v>
      </c>
      <c r="F482" s="12">
        <v>50.0</v>
      </c>
      <c r="G482" s="13">
        <v>44462.64272217592</v>
      </c>
      <c r="H482" s="14">
        <f>IFERROR(__xludf.DUMMYFUNCTION("SPLIT(G482, "", "")"),44462.0)</f>
        <v>44462</v>
      </c>
      <c r="I482" s="15">
        <f>IFERROR(__xludf.DUMMYFUNCTION("""COMPUTED_VALUE"""),0.6427199074074074)</f>
        <v>0.6427199074</v>
      </c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12">
        <v>3.46</v>
      </c>
      <c r="B483" s="12">
        <v>226.9</v>
      </c>
      <c r="C483" s="12">
        <v>498.4</v>
      </c>
      <c r="D483" s="12">
        <v>3.4</v>
      </c>
      <c r="E483" s="12">
        <v>0.64</v>
      </c>
      <c r="F483" s="12">
        <v>50.0</v>
      </c>
      <c r="G483" s="13">
        <v>44462.642818761575</v>
      </c>
      <c r="H483" s="14">
        <f>IFERROR(__xludf.DUMMYFUNCTION("SPLIT(G483, "", "")"),44462.0)</f>
        <v>44462</v>
      </c>
      <c r="I483" s="15">
        <f>IFERROR(__xludf.DUMMYFUNCTION("""COMPUTED_VALUE"""),0.642824074074074)</f>
        <v>0.6428240741</v>
      </c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12">
        <v>3.46</v>
      </c>
      <c r="B484" s="12">
        <v>226.8</v>
      </c>
      <c r="C484" s="12">
        <v>498.5</v>
      </c>
      <c r="D484" s="12">
        <v>3.4</v>
      </c>
      <c r="E484" s="12">
        <v>0.63</v>
      </c>
      <c r="F484" s="12">
        <v>50.0</v>
      </c>
      <c r="G484" s="13">
        <v>44462.642918136575</v>
      </c>
      <c r="H484" s="14">
        <f>IFERROR(__xludf.DUMMYFUNCTION("SPLIT(G484, "", "")"),44462.0)</f>
        <v>44462</v>
      </c>
      <c r="I484" s="15">
        <f>IFERROR(__xludf.DUMMYFUNCTION("""COMPUTED_VALUE"""),0.6429166666666667)</f>
        <v>0.6429166667</v>
      </c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12">
        <v>3.46</v>
      </c>
      <c r="B485" s="12">
        <v>226.8</v>
      </c>
      <c r="C485" s="12">
        <v>498.5</v>
      </c>
      <c r="D485" s="12">
        <v>3.4</v>
      </c>
      <c r="E485" s="12">
        <v>0.64</v>
      </c>
      <c r="F485" s="12">
        <v>50.0</v>
      </c>
      <c r="G485" s="13">
        <v>44462.64302396991</v>
      </c>
      <c r="H485" s="14">
        <f>IFERROR(__xludf.DUMMYFUNCTION("SPLIT(G485, "", "")"),44462.0)</f>
        <v>44462</v>
      </c>
      <c r="I485" s="15">
        <f>IFERROR(__xludf.DUMMYFUNCTION("""COMPUTED_VALUE"""),0.6430208333333334)</f>
        <v>0.6430208333</v>
      </c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12">
        <v>3.47</v>
      </c>
      <c r="B486" s="12">
        <v>226.6</v>
      </c>
      <c r="C486" s="12">
        <v>498.6</v>
      </c>
      <c r="D486" s="12">
        <v>3.4</v>
      </c>
      <c r="E486" s="12">
        <v>0.63</v>
      </c>
      <c r="F486" s="12">
        <v>50.0</v>
      </c>
      <c r="G486" s="13">
        <v>44462.64313114583</v>
      </c>
      <c r="H486" s="14">
        <f>IFERROR(__xludf.DUMMYFUNCTION("SPLIT(G486, "", "")"),44462.0)</f>
        <v>44462</v>
      </c>
      <c r="I486" s="15">
        <f>IFERROR(__xludf.DUMMYFUNCTION("""COMPUTED_VALUE"""),0.6431365740740741)</f>
        <v>0.6431365741</v>
      </c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12">
        <v>3.48</v>
      </c>
      <c r="B487" s="12">
        <v>226.5</v>
      </c>
      <c r="C487" s="12">
        <v>498.6</v>
      </c>
      <c r="D487" s="12">
        <v>3.4</v>
      </c>
      <c r="E487" s="12">
        <v>0.63</v>
      </c>
      <c r="F487" s="12">
        <v>49.9</v>
      </c>
      <c r="G487" s="13">
        <v>44462.64323609954</v>
      </c>
      <c r="H487" s="14">
        <f>IFERROR(__xludf.DUMMYFUNCTION("SPLIT(G487, "", "")"),44462.0)</f>
        <v>44462</v>
      </c>
      <c r="I487" s="15">
        <f>IFERROR(__xludf.DUMMYFUNCTION("""COMPUTED_VALUE"""),0.6432407407407408)</f>
        <v>0.6432407407</v>
      </c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12">
        <v>3.48</v>
      </c>
      <c r="B488" s="12">
        <v>226.6</v>
      </c>
      <c r="C488" s="12">
        <v>498.6</v>
      </c>
      <c r="D488" s="12">
        <v>3.4</v>
      </c>
      <c r="E488" s="12">
        <v>0.63</v>
      </c>
      <c r="F488" s="12">
        <v>50.0</v>
      </c>
      <c r="G488" s="13">
        <v>44462.64333875</v>
      </c>
      <c r="H488" s="14">
        <f>IFERROR(__xludf.DUMMYFUNCTION("SPLIT(G488, "", "")"),44462.0)</f>
        <v>44462</v>
      </c>
      <c r="I488" s="15">
        <f>IFERROR(__xludf.DUMMYFUNCTION("""COMPUTED_VALUE"""),0.6433333333333333)</f>
        <v>0.6433333333</v>
      </c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12">
        <v>3.48</v>
      </c>
      <c r="B489" s="12">
        <v>226.4</v>
      </c>
      <c r="C489" s="12">
        <v>498.7</v>
      </c>
      <c r="D489" s="12">
        <v>3.4</v>
      </c>
      <c r="E489" s="12">
        <v>0.63</v>
      </c>
      <c r="F489" s="12">
        <v>50.0</v>
      </c>
      <c r="G489" s="13">
        <v>44462.64343780093</v>
      </c>
      <c r="H489" s="14">
        <f>IFERROR(__xludf.DUMMYFUNCTION("SPLIT(G489, "", "")"),44462.0)</f>
        <v>44462</v>
      </c>
      <c r="I489" s="15">
        <f>IFERROR(__xludf.DUMMYFUNCTION("""COMPUTED_VALUE"""),0.6434375)</f>
        <v>0.6434375</v>
      </c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12">
        <v>3.48</v>
      </c>
      <c r="B490" s="12">
        <v>226.4</v>
      </c>
      <c r="C490" s="12">
        <v>498.7</v>
      </c>
      <c r="D490" s="12">
        <v>3.4</v>
      </c>
      <c r="E490" s="12">
        <v>0.63</v>
      </c>
      <c r="F490" s="12">
        <v>50.0</v>
      </c>
      <c r="G490" s="13">
        <v>44462.643533703704</v>
      </c>
      <c r="H490" s="14">
        <f>IFERROR(__xludf.DUMMYFUNCTION("SPLIT(G490, "", "")"),44462.0)</f>
        <v>44462</v>
      </c>
      <c r="I490" s="15">
        <f>IFERROR(__xludf.DUMMYFUNCTION("""COMPUTED_VALUE"""),0.6435300925925926)</f>
        <v>0.6435300926</v>
      </c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12">
        <v>3.47</v>
      </c>
      <c r="B491" s="12">
        <v>226.3</v>
      </c>
      <c r="C491" s="12">
        <v>498.7</v>
      </c>
      <c r="D491" s="12">
        <v>3.4</v>
      </c>
      <c r="E491" s="12">
        <v>0.63</v>
      </c>
      <c r="F491" s="12">
        <v>50.0</v>
      </c>
      <c r="G491" s="13">
        <v>44462.64363310185</v>
      </c>
      <c r="H491" s="14">
        <f>IFERROR(__xludf.DUMMYFUNCTION("SPLIT(G491, "", "")"),44462.0)</f>
        <v>44462</v>
      </c>
      <c r="I491" s="15">
        <f>IFERROR(__xludf.DUMMYFUNCTION("""COMPUTED_VALUE"""),0.6436342592592592)</f>
        <v>0.6436342593</v>
      </c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12">
        <v>3.48</v>
      </c>
      <c r="B492" s="12">
        <v>226.3</v>
      </c>
      <c r="C492" s="12">
        <v>498.8</v>
      </c>
      <c r="D492" s="12">
        <v>3.41</v>
      </c>
      <c r="E492" s="12">
        <v>0.63</v>
      </c>
      <c r="F492" s="12">
        <v>49.9</v>
      </c>
      <c r="G492" s="13">
        <v>44462.64373388889</v>
      </c>
      <c r="H492" s="14">
        <f>IFERROR(__xludf.DUMMYFUNCTION("SPLIT(G492, "", "")"),44462.0)</f>
        <v>44462</v>
      </c>
      <c r="I492" s="15">
        <f>IFERROR(__xludf.DUMMYFUNCTION("""COMPUTED_VALUE"""),0.6437384259259259)</f>
        <v>0.6437384259</v>
      </c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12">
        <v>3.47</v>
      </c>
      <c r="B493" s="12">
        <v>226.5</v>
      </c>
      <c r="C493" s="12">
        <v>498.9</v>
      </c>
      <c r="D493" s="12">
        <v>3.41</v>
      </c>
      <c r="E493" s="12">
        <v>0.63</v>
      </c>
      <c r="F493" s="12">
        <v>49.9</v>
      </c>
      <c r="G493" s="13">
        <v>44462.64383289352</v>
      </c>
      <c r="H493" s="14">
        <f>IFERROR(__xludf.DUMMYFUNCTION("SPLIT(G493, "", "")"),44462.0)</f>
        <v>44462</v>
      </c>
      <c r="I493" s="15">
        <f>IFERROR(__xludf.DUMMYFUNCTION("""COMPUTED_VALUE"""),0.6438310185185185)</f>
        <v>0.6438310185</v>
      </c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12">
        <v>3.48</v>
      </c>
      <c r="B494" s="12">
        <v>226.5</v>
      </c>
      <c r="C494" s="12">
        <v>498.9</v>
      </c>
      <c r="D494" s="12">
        <v>3.41</v>
      </c>
      <c r="E494" s="12">
        <v>0.63</v>
      </c>
      <c r="F494" s="12">
        <v>49.9</v>
      </c>
      <c r="G494" s="13">
        <v>44462.643938368055</v>
      </c>
      <c r="H494" s="14">
        <f>IFERROR(__xludf.DUMMYFUNCTION("SPLIT(G494, "", "")"),44462.0)</f>
        <v>44462</v>
      </c>
      <c r="I494" s="15">
        <f>IFERROR(__xludf.DUMMYFUNCTION("""COMPUTED_VALUE"""),0.6439351851851852)</f>
        <v>0.6439351852</v>
      </c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12">
        <v>3.48</v>
      </c>
      <c r="B495" s="12">
        <v>226.4</v>
      </c>
      <c r="C495" s="12">
        <v>499.0</v>
      </c>
      <c r="D495" s="12">
        <v>3.41</v>
      </c>
      <c r="E495" s="12">
        <v>0.63</v>
      </c>
      <c r="F495" s="12">
        <v>49.9</v>
      </c>
      <c r="G495" s="13">
        <v>44462.644036261576</v>
      </c>
      <c r="H495" s="14">
        <f>IFERROR(__xludf.DUMMYFUNCTION("SPLIT(G495, "", "")"),44462.0)</f>
        <v>44462</v>
      </c>
      <c r="I495" s="15">
        <f>IFERROR(__xludf.DUMMYFUNCTION("""COMPUTED_VALUE"""),0.6440393518518519)</f>
        <v>0.6440393519</v>
      </c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12">
        <v>3.48</v>
      </c>
      <c r="B496" s="12">
        <v>226.4</v>
      </c>
      <c r="C496" s="12">
        <v>499.0</v>
      </c>
      <c r="D496" s="12">
        <v>3.41</v>
      </c>
      <c r="E496" s="12">
        <v>0.63</v>
      </c>
      <c r="F496" s="12">
        <v>50.0</v>
      </c>
      <c r="G496" s="13">
        <v>44462.644132719906</v>
      </c>
      <c r="H496" s="14">
        <f>IFERROR(__xludf.DUMMYFUNCTION("SPLIT(G496, "", "")"),44462.0)</f>
        <v>44462</v>
      </c>
      <c r="I496" s="15">
        <f>IFERROR(__xludf.DUMMYFUNCTION("""COMPUTED_VALUE"""),0.6441319444444444)</f>
        <v>0.6441319444</v>
      </c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12">
        <v>3.48</v>
      </c>
      <c r="B497" s="12">
        <v>226.4</v>
      </c>
      <c r="C497" s="12">
        <v>499.1</v>
      </c>
      <c r="D497" s="12">
        <v>3.41</v>
      </c>
      <c r="E497" s="12">
        <v>0.63</v>
      </c>
      <c r="F497" s="12">
        <v>50.0</v>
      </c>
      <c r="G497" s="13">
        <v>44462.644231412036</v>
      </c>
      <c r="H497" s="14">
        <f>IFERROR(__xludf.DUMMYFUNCTION("SPLIT(G497, "", "")"),44462.0)</f>
        <v>44462</v>
      </c>
      <c r="I497" s="15">
        <f>IFERROR(__xludf.DUMMYFUNCTION("""COMPUTED_VALUE"""),0.6442361111111111)</f>
        <v>0.6442361111</v>
      </c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12">
        <v>3.48</v>
      </c>
      <c r="B498" s="12">
        <v>226.4</v>
      </c>
      <c r="C498" s="12">
        <v>499.2</v>
      </c>
      <c r="D498" s="12">
        <v>3.41</v>
      </c>
      <c r="E498" s="12">
        <v>0.63</v>
      </c>
      <c r="F498" s="12">
        <v>50.0</v>
      </c>
      <c r="G498" s="13">
        <v>44462.64433270833</v>
      </c>
      <c r="H498" s="14">
        <f>IFERROR(__xludf.DUMMYFUNCTION("SPLIT(G498, "", "")"),44462.0)</f>
        <v>44462</v>
      </c>
      <c r="I498" s="15">
        <f>IFERROR(__xludf.DUMMYFUNCTION("""COMPUTED_VALUE"""),0.6443287037037037)</f>
        <v>0.6443287037</v>
      </c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12">
        <v>3.48</v>
      </c>
      <c r="B499" s="12">
        <v>226.5</v>
      </c>
      <c r="C499" s="12">
        <v>499.2</v>
      </c>
      <c r="D499" s="12">
        <v>3.41</v>
      </c>
      <c r="E499" s="12">
        <v>0.63</v>
      </c>
      <c r="F499" s="12">
        <v>49.9</v>
      </c>
      <c r="G499" s="13">
        <v>44462.64443454861</v>
      </c>
      <c r="H499" s="14">
        <f>IFERROR(__xludf.DUMMYFUNCTION("SPLIT(G499, "", "")"),44462.0)</f>
        <v>44462</v>
      </c>
      <c r="I499" s="15">
        <f>IFERROR(__xludf.DUMMYFUNCTION("""COMPUTED_VALUE"""),0.6444328703703703)</f>
        <v>0.6444328704</v>
      </c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12">
        <v>3.48</v>
      </c>
      <c r="B500" s="12">
        <v>226.5</v>
      </c>
      <c r="C500" s="12">
        <v>499.3</v>
      </c>
      <c r="D500" s="12">
        <v>3.42</v>
      </c>
      <c r="E500" s="12">
        <v>0.63</v>
      </c>
      <c r="F500" s="12">
        <v>50.0</v>
      </c>
      <c r="G500" s="13">
        <v>44462.64453960648</v>
      </c>
      <c r="H500" s="14">
        <f>IFERROR(__xludf.DUMMYFUNCTION("SPLIT(G500, "", "")"),44462.0)</f>
        <v>44462</v>
      </c>
      <c r="I500" s="15">
        <f>IFERROR(__xludf.DUMMYFUNCTION("""COMPUTED_VALUE"""),0.644537037037037)</f>
        <v>0.644537037</v>
      </c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12">
        <v>3.47</v>
      </c>
      <c r="B501" s="12">
        <v>226.6</v>
      </c>
      <c r="C501" s="12">
        <v>499.3</v>
      </c>
      <c r="D501" s="12">
        <v>3.42</v>
      </c>
      <c r="E501" s="12">
        <v>0.63</v>
      </c>
      <c r="F501" s="12">
        <v>50.0</v>
      </c>
      <c r="G501" s="13">
        <v>44462.64463634259</v>
      </c>
      <c r="H501" s="14">
        <f>IFERROR(__xludf.DUMMYFUNCTION("SPLIT(G501, "", "")"),44462.0)</f>
        <v>44462</v>
      </c>
      <c r="I501" s="15">
        <f>IFERROR(__xludf.DUMMYFUNCTION("""COMPUTED_VALUE"""),0.6446412037037037)</f>
        <v>0.6446412037</v>
      </c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12">
        <v>3.48</v>
      </c>
      <c r="B502" s="12">
        <v>226.6</v>
      </c>
      <c r="C502" s="12">
        <v>499.4</v>
      </c>
      <c r="D502" s="12">
        <v>3.42</v>
      </c>
      <c r="E502" s="12">
        <v>0.63</v>
      </c>
      <c r="F502" s="12">
        <v>50.0</v>
      </c>
      <c r="G502" s="13">
        <v>44462.644733043984</v>
      </c>
      <c r="H502" s="14">
        <f>IFERROR(__xludf.DUMMYFUNCTION("SPLIT(G502, "", "")"),44462.0)</f>
        <v>44462</v>
      </c>
      <c r="I502" s="15">
        <f>IFERROR(__xludf.DUMMYFUNCTION("""COMPUTED_VALUE"""),0.6447337962962963)</f>
        <v>0.6447337963</v>
      </c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12">
        <v>3.58</v>
      </c>
      <c r="B503" s="12">
        <v>225.6</v>
      </c>
      <c r="C503" s="12">
        <v>498.7</v>
      </c>
      <c r="D503" s="12">
        <v>3.42</v>
      </c>
      <c r="E503" s="12">
        <v>0.62</v>
      </c>
      <c r="F503" s="12">
        <v>50.0</v>
      </c>
      <c r="G503" s="13">
        <v>44462.64483070602</v>
      </c>
      <c r="H503" s="14">
        <f>IFERROR(__xludf.DUMMYFUNCTION("SPLIT(G503, "", "")"),44462.0)</f>
        <v>44462</v>
      </c>
      <c r="I503" s="15">
        <f>IFERROR(__xludf.DUMMYFUNCTION("""COMPUTED_VALUE"""),0.6448263888888889)</f>
        <v>0.6448263889</v>
      </c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12">
        <v>3.58</v>
      </c>
      <c r="B504" s="12">
        <v>225.6</v>
      </c>
      <c r="C504" s="12">
        <v>498.7</v>
      </c>
      <c r="D504" s="12">
        <v>3.42</v>
      </c>
      <c r="E504" s="12">
        <v>0.62</v>
      </c>
      <c r="F504" s="12">
        <v>50.0</v>
      </c>
      <c r="G504" s="13">
        <v>44462.644931319446</v>
      </c>
      <c r="H504" s="14">
        <f>IFERROR(__xludf.DUMMYFUNCTION("SPLIT(G504, "", "")"),44462.0)</f>
        <v>44462</v>
      </c>
      <c r="I504" s="15">
        <f>IFERROR(__xludf.DUMMYFUNCTION("""COMPUTED_VALUE"""),0.6449305555555556)</f>
        <v>0.6449305556</v>
      </c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12">
        <v>3.58</v>
      </c>
      <c r="B505" s="12">
        <v>225.6</v>
      </c>
      <c r="C505" s="12">
        <v>498.7</v>
      </c>
      <c r="D505" s="12">
        <v>3.42</v>
      </c>
      <c r="E505" s="12">
        <v>0.62</v>
      </c>
      <c r="F505" s="12">
        <v>50.0</v>
      </c>
      <c r="G505" s="13">
        <v>44462.645033865745</v>
      </c>
      <c r="H505" s="14">
        <f>IFERROR(__xludf.DUMMYFUNCTION("SPLIT(G505, "", "")"),44462.0)</f>
        <v>44462</v>
      </c>
      <c r="I505" s="15">
        <f>IFERROR(__xludf.DUMMYFUNCTION("""COMPUTED_VALUE"""),0.6450347222222222)</f>
        <v>0.6450347222</v>
      </c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12">
        <v>3.58</v>
      </c>
      <c r="B506" s="12">
        <v>225.7</v>
      </c>
      <c r="C506" s="12">
        <v>498.8</v>
      </c>
      <c r="D506" s="12">
        <v>3.42</v>
      </c>
      <c r="E506" s="12">
        <v>0.62</v>
      </c>
      <c r="F506" s="12">
        <v>50.0</v>
      </c>
      <c r="G506" s="13">
        <v>44462.64513351852</v>
      </c>
      <c r="H506" s="14">
        <f>IFERROR(__xludf.DUMMYFUNCTION("SPLIT(G506, "", "")"),44462.0)</f>
        <v>44462</v>
      </c>
      <c r="I506" s="15">
        <f>IFERROR(__xludf.DUMMYFUNCTION("""COMPUTED_VALUE"""),0.6451388888888889)</f>
        <v>0.6451388889</v>
      </c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12">
        <v>3.58</v>
      </c>
      <c r="B507" s="12">
        <v>225.6</v>
      </c>
      <c r="C507" s="12">
        <v>498.9</v>
      </c>
      <c r="D507" s="12">
        <v>3.42</v>
      </c>
      <c r="E507" s="12">
        <v>0.62</v>
      </c>
      <c r="F507" s="12">
        <v>50.0</v>
      </c>
      <c r="G507" s="13">
        <v>44462.645231180555</v>
      </c>
      <c r="H507" s="14">
        <f>IFERROR(__xludf.DUMMYFUNCTION("SPLIT(G507, "", "")"),44462.0)</f>
        <v>44462</v>
      </c>
      <c r="I507" s="15">
        <f>IFERROR(__xludf.DUMMYFUNCTION("""COMPUTED_VALUE"""),0.6452314814814815)</f>
        <v>0.6452314815</v>
      </c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12">
        <v>3.48</v>
      </c>
      <c r="B508" s="12">
        <v>226.6</v>
      </c>
      <c r="C508" s="12">
        <v>499.6</v>
      </c>
      <c r="D508" s="12">
        <v>3.43</v>
      </c>
      <c r="E508" s="12">
        <v>0.63</v>
      </c>
      <c r="F508" s="12">
        <v>50.0</v>
      </c>
      <c r="G508" s="13">
        <v>44462.64534271991</v>
      </c>
      <c r="H508" s="14">
        <f>IFERROR(__xludf.DUMMYFUNCTION("SPLIT(G508, "", "")"),44462.0)</f>
        <v>44462</v>
      </c>
      <c r="I508" s="15">
        <f>IFERROR(__xludf.DUMMYFUNCTION("""COMPUTED_VALUE"""),0.6453472222222222)</f>
        <v>0.6453472222</v>
      </c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12">
        <v>3.48</v>
      </c>
      <c r="B509" s="12">
        <v>226.7</v>
      </c>
      <c r="C509" s="12">
        <v>499.8</v>
      </c>
      <c r="D509" s="12">
        <v>3.43</v>
      </c>
      <c r="E509" s="12">
        <v>0.63</v>
      </c>
      <c r="F509" s="12">
        <v>50.0</v>
      </c>
      <c r="G509" s="13">
        <v>44462.645446423616</v>
      </c>
      <c r="H509" s="14">
        <f>IFERROR(__xludf.DUMMYFUNCTION("SPLIT(G509, "", "")"),44462.0)</f>
        <v>44462</v>
      </c>
      <c r="I509" s="15">
        <f>IFERROR(__xludf.DUMMYFUNCTION("""COMPUTED_VALUE"""),0.6454513888888889)</f>
        <v>0.6454513889</v>
      </c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12">
        <v>3.48</v>
      </c>
      <c r="B510" s="12">
        <v>226.7</v>
      </c>
      <c r="C510" s="12">
        <v>499.9</v>
      </c>
      <c r="D510" s="12">
        <v>3.43</v>
      </c>
      <c r="E510" s="12">
        <v>0.63</v>
      </c>
      <c r="F510" s="12">
        <v>50.0</v>
      </c>
      <c r="G510" s="13">
        <v>44462.64554601852</v>
      </c>
      <c r="H510" s="14">
        <f>IFERROR(__xludf.DUMMYFUNCTION("SPLIT(G510, "", "")"),44462.0)</f>
        <v>44462</v>
      </c>
      <c r="I510" s="15">
        <f>IFERROR(__xludf.DUMMYFUNCTION("""COMPUTED_VALUE"""),0.6455439814814815)</f>
        <v>0.6455439815</v>
      </c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12">
        <v>3.48</v>
      </c>
      <c r="B511" s="12">
        <v>226.6</v>
      </c>
      <c r="C511" s="12">
        <v>500.0</v>
      </c>
      <c r="D511" s="12">
        <v>3.43</v>
      </c>
      <c r="E511" s="12">
        <v>0.63</v>
      </c>
      <c r="F511" s="12">
        <v>50.0</v>
      </c>
      <c r="G511" s="13">
        <v>44462.64564836805</v>
      </c>
      <c r="H511" s="14">
        <f>IFERROR(__xludf.DUMMYFUNCTION("SPLIT(G511, "", "")"),44462.0)</f>
        <v>44462</v>
      </c>
      <c r="I511" s="15">
        <f>IFERROR(__xludf.DUMMYFUNCTION("""COMPUTED_VALUE"""),0.6456481481481482)</f>
        <v>0.6456481481</v>
      </c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12">
        <v>3.48</v>
      </c>
      <c r="B512" s="12">
        <v>226.5</v>
      </c>
      <c r="C512" s="12">
        <v>500.0</v>
      </c>
      <c r="D512" s="12">
        <v>3.43</v>
      </c>
      <c r="E512" s="12">
        <v>0.63</v>
      </c>
      <c r="F512" s="12">
        <v>50.0</v>
      </c>
      <c r="G512" s="13">
        <v>44462.64574842593</v>
      </c>
      <c r="H512" s="14">
        <f>IFERROR(__xludf.DUMMYFUNCTION("SPLIT(G512, "", "")"),44462.0)</f>
        <v>44462</v>
      </c>
      <c r="I512" s="15">
        <f>IFERROR(__xludf.DUMMYFUNCTION("""COMPUTED_VALUE"""),0.6457523148148148)</f>
        <v>0.6457523148</v>
      </c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12">
        <v>3.48</v>
      </c>
      <c r="B513" s="12">
        <v>226.6</v>
      </c>
      <c r="C513" s="12">
        <v>500.0</v>
      </c>
      <c r="D513" s="12">
        <v>3.43</v>
      </c>
      <c r="E513" s="12">
        <v>0.63</v>
      </c>
      <c r="F513" s="12">
        <v>50.0</v>
      </c>
      <c r="G513" s="13">
        <v>44462.6458512963</v>
      </c>
      <c r="H513" s="14">
        <f>IFERROR(__xludf.DUMMYFUNCTION("SPLIT(G513, "", "")"),44462.0)</f>
        <v>44462</v>
      </c>
      <c r="I513" s="15">
        <f>IFERROR(__xludf.DUMMYFUNCTION("""COMPUTED_VALUE"""),0.6458564814814814)</f>
        <v>0.6458564815</v>
      </c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12">
        <v>3.49</v>
      </c>
      <c r="B514" s="12">
        <v>226.4</v>
      </c>
      <c r="C514" s="12">
        <v>500.1</v>
      </c>
      <c r="D514" s="12">
        <v>3.43</v>
      </c>
      <c r="E514" s="12">
        <v>0.63</v>
      </c>
      <c r="F514" s="12">
        <v>49.9</v>
      </c>
      <c r="G514" s="13">
        <v>44462.64594798611</v>
      </c>
      <c r="H514" s="14">
        <f>IFERROR(__xludf.DUMMYFUNCTION("SPLIT(G514, "", "")"),44462.0)</f>
        <v>44462</v>
      </c>
      <c r="I514" s="15">
        <f>IFERROR(__xludf.DUMMYFUNCTION("""COMPUTED_VALUE"""),0.6459490740740741)</f>
        <v>0.6459490741</v>
      </c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12">
        <v>3.49</v>
      </c>
      <c r="B515" s="12">
        <v>226.2</v>
      </c>
      <c r="C515" s="12">
        <v>500.1</v>
      </c>
      <c r="D515" s="12">
        <v>3.43</v>
      </c>
      <c r="E515" s="12">
        <v>0.63</v>
      </c>
      <c r="F515" s="12">
        <v>49.9</v>
      </c>
      <c r="G515" s="13">
        <v>44462.64604586805</v>
      </c>
      <c r="H515" s="14">
        <f>IFERROR(__xludf.DUMMYFUNCTION("SPLIT(G515, "", "")"),44462.0)</f>
        <v>44462</v>
      </c>
      <c r="I515" s="15">
        <f>IFERROR(__xludf.DUMMYFUNCTION("""COMPUTED_VALUE"""),0.6460416666666666)</f>
        <v>0.6460416667</v>
      </c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12">
        <v>3.48</v>
      </c>
      <c r="B516" s="12">
        <v>226.5</v>
      </c>
      <c r="C516" s="12">
        <v>500.2</v>
      </c>
      <c r="D516" s="12">
        <v>3.43</v>
      </c>
      <c r="E516" s="12">
        <v>0.63</v>
      </c>
      <c r="F516" s="12">
        <v>50.0</v>
      </c>
      <c r="G516" s="13">
        <v>44462.64614332176</v>
      </c>
      <c r="H516" s="14">
        <f>IFERROR(__xludf.DUMMYFUNCTION("SPLIT(G516, "", "")"),44462.0)</f>
        <v>44462</v>
      </c>
      <c r="I516" s="15">
        <f>IFERROR(__xludf.DUMMYFUNCTION("""COMPUTED_VALUE"""),0.6461458333333333)</f>
        <v>0.6461458333</v>
      </c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12">
        <v>3.49</v>
      </c>
      <c r="B517" s="12">
        <v>226.2</v>
      </c>
      <c r="C517" s="12">
        <v>500.3</v>
      </c>
      <c r="D517" s="12">
        <v>3.44</v>
      </c>
      <c r="E517" s="12">
        <v>0.63</v>
      </c>
      <c r="F517" s="12">
        <v>50.0</v>
      </c>
      <c r="G517" s="13">
        <v>44462.6462456713</v>
      </c>
      <c r="H517" s="14">
        <f>IFERROR(__xludf.DUMMYFUNCTION("SPLIT(G517, "", "")"),44462.0)</f>
        <v>44462</v>
      </c>
      <c r="I517" s="15">
        <f>IFERROR(__xludf.DUMMYFUNCTION("""COMPUTED_VALUE"""),0.64625)</f>
        <v>0.64625</v>
      </c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12">
        <v>3.47</v>
      </c>
      <c r="B518" s="12">
        <v>226.7</v>
      </c>
      <c r="C518" s="12">
        <v>500.1</v>
      </c>
      <c r="D518" s="12">
        <v>3.44</v>
      </c>
      <c r="E518" s="12">
        <v>0.64</v>
      </c>
      <c r="F518" s="12">
        <v>49.9</v>
      </c>
      <c r="G518" s="13">
        <v>44462.64634251157</v>
      </c>
      <c r="H518" s="14">
        <f>IFERROR(__xludf.DUMMYFUNCTION("SPLIT(G518, "", "")"),44462.0)</f>
        <v>44462</v>
      </c>
      <c r="I518" s="15">
        <f>IFERROR(__xludf.DUMMYFUNCTION("""COMPUTED_VALUE"""),0.6463425925925926)</f>
        <v>0.6463425926</v>
      </c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12">
        <v>3.46</v>
      </c>
      <c r="B519" s="12">
        <v>226.7</v>
      </c>
      <c r="C519" s="12">
        <v>500.2</v>
      </c>
      <c r="D519" s="12">
        <v>3.44</v>
      </c>
      <c r="E519" s="12">
        <v>0.64</v>
      </c>
      <c r="F519" s="12">
        <v>49.9</v>
      </c>
      <c r="G519" s="13">
        <v>44462.64643974537</v>
      </c>
      <c r="H519" s="14">
        <f>IFERROR(__xludf.DUMMYFUNCTION("SPLIT(G519, "", "")"),44462.0)</f>
        <v>44462</v>
      </c>
      <c r="I519" s="15">
        <f>IFERROR(__xludf.DUMMYFUNCTION("""COMPUTED_VALUE"""),0.6464351851851852)</f>
        <v>0.6464351852</v>
      </c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12">
        <v>3.47</v>
      </c>
      <c r="B520" s="12">
        <v>226.5</v>
      </c>
      <c r="C520" s="12">
        <v>500.3</v>
      </c>
      <c r="D520" s="12">
        <v>3.44</v>
      </c>
      <c r="E520" s="12">
        <v>0.64</v>
      </c>
      <c r="F520" s="12">
        <v>50.0</v>
      </c>
      <c r="G520" s="13">
        <v>44462.64653974537</v>
      </c>
      <c r="H520" s="14">
        <f>IFERROR(__xludf.DUMMYFUNCTION("SPLIT(G520, "", "")"),44462.0)</f>
        <v>44462</v>
      </c>
      <c r="I520" s="15">
        <f>IFERROR(__xludf.DUMMYFUNCTION("""COMPUTED_VALUE"""),0.6465393518518519)</f>
        <v>0.6465393519</v>
      </c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12">
        <v>3.47</v>
      </c>
      <c r="B521" s="12">
        <v>226.6</v>
      </c>
      <c r="C521" s="12">
        <v>500.4</v>
      </c>
      <c r="D521" s="12">
        <v>3.44</v>
      </c>
      <c r="E521" s="12">
        <v>0.64</v>
      </c>
      <c r="F521" s="12">
        <v>50.0</v>
      </c>
      <c r="G521" s="13">
        <v>44462.64663743056</v>
      </c>
      <c r="H521" s="14">
        <f>IFERROR(__xludf.DUMMYFUNCTION("SPLIT(G521, "", "")"),44462.0)</f>
        <v>44462</v>
      </c>
      <c r="I521" s="15">
        <f>IFERROR(__xludf.DUMMYFUNCTION("""COMPUTED_VALUE"""),0.6466319444444445)</f>
        <v>0.6466319444</v>
      </c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12">
        <v>3.46</v>
      </c>
      <c r="B522" s="12">
        <v>226.7</v>
      </c>
      <c r="C522" s="12">
        <v>500.4</v>
      </c>
      <c r="D522" s="12">
        <v>3.44</v>
      </c>
      <c r="E522" s="12">
        <v>0.64</v>
      </c>
      <c r="F522" s="12">
        <v>50.0</v>
      </c>
      <c r="G522" s="13">
        <v>44462.64674399306</v>
      </c>
      <c r="H522" s="14">
        <f>IFERROR(__xludf.DUMMYFUNCTION("SPLIT(G522, "", "")"),44462.0)</f>
        <v>44462</v>
      </c>
      <c r="I522" s="15">
        <f>IFERROR(__xludf.DUMMYFUNCTION("""COMPUTED_VALUE"""),0.6467476851851852)</f>
        <v>0.6467476852</v>
      </c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12">
        <v>3.47</v>
      </c>
      <c r="B523" s="12">
        <v>226.8</v>
      </c>
      <c r="C523" s="12">
        <v>500.5</v>
      </c>
      <c r="D523" s="12">
        <v>3.44</v>
      </c>
      <c r="E523" s="12">
        <v>0.64</v>
      </c>
      <c r="F523" s="12">
        <v>50.0</v>
      </c>
      <c r="G523" s="13">
        <v>44462.64684543981</v>
      </c>
      <c r="H523" s="14">
        <f>IFERROR(__xludf.DUMMYFUNCTION("SPLIT(G523, "", "")"),44462.0)</f>
        <v>44462</v>
      </c>
      <c r="I523" s="15">
        <f>IFERROR(__xludf.DUMMYFUNCTION("""COMPUTED_VALUE"""),0.6468402777777778)</f>
        <v>0.6468402778</v>
      </c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12">
        <v>3.47</v>
      </c>
      <c r="B524" s="12">
        <v>226.7</v>
      </c>
      <c r="C524" s="12">
        <v>500.6</v>
      </c>
      <c r="D524" s="12">
        <v>3.44</v>
      </c>
      <c r="E524" s="12">
        <v>0.64</v>
      </c>
      <c r="F524" s="12">
        <v>50.0</v>
      </c>
      <c r="G524" s="13">
        <v>44462.64694564814</v>
      </c>
      <c r="H524" s="14">
        <f>IFERROR(__xludf.DUMMYFUNCTION("SPLIT(G524, "", "")"),44462.0)</f>
        <v>44462</v>
      </c>
      <c r="I524" s="15">
        <f>IFERROR(__xludf.DUMMYFUNCTION("""COMPUTED_VALUE"""),0.6469444444444444)</f>
        <v>0.6469444444</v>
      </c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12">
        <v>3.47</v>
      </c>
      <c r="B525" s="12">
        <v>226.8</v>
      </c>
      <c r="C525" s="12">
        <v>500.6</v>
      </c>
      <c r="D525" s="12">
        <v>3.45</v>
      </c>
      <c r="E525" s="12">
        <v>0.64</v>
      </c>
      <c r="F525" s="12">
        <v>50.0</v>
      </c>
      <c r="G525" s="13">
        <v>44462.64705534722</v>
      </c>
      <c r="H525" s="14">
        <f>IFERROR(__xludf.DUMMYFUNCTION("SPLIT(G525, "", "")"),44462.0)</f>
        <v>44462</v>
      </c>
      <c r="I525" s="15">
        <f>IFERROR(__xludf.DUMMYFUNCTION("""COMPUTED_VALUE"""),0.6470601851851852)</f>
        <v>0.6470601852</v>
      </c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12">
        <v>3.47</v>
      </c>
      <c r="B526" s="12">
        <v>226.8</v>
      </c>
      <c r="C526" s="12">
        <v>500.6</v>
      </c>
      <c r="D526" s="12">
        <v>3.45</v>
      </c>
      <c r="E526" s="12">
        <v>0.64</v>
      </c>
      <c r="F526" s="12">
        <v>50.0</v>
      </c>
      <c r="G526" s="13">
        <v>44462.6471528125</v>
      </c>
      <c r="H526" s="14">
        <f>IFERROR(__xludf.DUMMYFUNCTION("SPLIT(G526, "", "")"),44462.0)</f>
        <v>44462</v>
      </c>
      <c r="I526" s="15">
        <f>IFERROR(__xludf.DUMMYFUNCTION("""COMPUTED_VALUE"""),0.6471527777777778)</f>
        <v>0.6471527778</v>
      </c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12">
        <v>3.47</v>
      </c>
      <c r="B527" s="12">
        <v>226.7</v>
      </c>
      <c r="C527" s="12">
        <v>500.7</v>
      </c>
      <c r="D527" s="12">
        <v>3.45</v>
      </c>
      <c r="E527" s="12">
        <v>0.64</v>
      </c>
      <c r="F527" s="12">
        <v>50.0</v>
      </c>
      <c r="G527" s="13">
        <v>44462.647261886574</v>
      </c>
      <c r="H527" s="14">
        <f>IFERROR(__xludf.DUMMYFUNCTION("SPLIT(G527, "", "")"),44462.0)</f>
        <v>44462</v>
      </c>
      <c r="I527" s="15">
        <f>IFERROR(__xludf.DUMMYFUNCTION("""COMPUTED_VALUE"""),0.6472569444444445)</f>
        <v>0.6472569444</v>
      </c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12">
        <v>3.47</v>
      </c>
      <c r="B528" s="12">
        <v>226.5</v>
      </c>
      <c r="C528" s="12">
        <v>500.8</v>
      </c>
      <c r="D528" s="12">
        <v>3.45</v>
      </c>
      <c r="E528" s="12">
        <v>0.64</v>
      </c>
      <c r="F528" s="12">
        <v>50.0</v>
      </c>
      <c r="G528" s="13">
        <v>44462.64736325231</v>
      </c>
      <c r="H528" s="14">
        <f>IFERROR(__xludf.DUMMYFUNCTION("SPLIT(G528, "", "")"),44462.0)</f>
        <v>44462</v>
      </c>
      <c r="I528" s="15">
        <f>IFERROR(__xludf.DUMMYFUNCTION("""COMPUTED_VALUE"""),0.6473611111111112)</f>
        <v>0.6473611111</v>
      </c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12">
        <v>3.47</v>
      </c>
      <c r="B529" s="12">
        <v>226.6</v>
      </c>
      <c r="C529" s="12">
        <v>500.8</v>
      </c>
      <c r="D529" s="12">
        <v>3.45</v>
      </c>
      <c r="E529" s="12">
        <v>0.64</v>
      </c>
      <c r="F529" s="12">
        <v>50.0</v>
      </c>
      <c r="G529" s="13">
        <v>44462.647463194444</v>
      </c>
      <c r="H529" s="14">
        <f>IFERROR(__xludf.DUMMYFUNCTION("SPLIT(G529, "", "")"),44462.0)</f>
        <v>44462</v>
      </c>
      <c r="I529" s="15">
        <f>IFERROR(__xludf.DUMMYFUNCTION("""COMPUTED_VALUE"""),0.6474652777777777)</f>
        <v>0.6474652778</v>
      </c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12">
        <v>3.47</v>
      </c>
      <c r="B530" s="12">
        <v>226.7</v>
      </c>
      <c r="C530" s="12">
        <v>500.9</v>
      </c>
      <c r="D530" s="12">
        <v>3.45</v>
      </c>
      <c r="E530" s="12">
        <v>0.64</v>
      </c>
      <c r="F530" s="12">
        <v>50.0</v>
      </c>
      <c r="G530" s="13">
        <v>44462.64755912037</v>
      </c>
      <c r="H530" s="14">
        <f>IFERROR(__xludf.DUMMYFUNCTION("SPLIT(G530, "", "")"),44462.0)</f>
        <v>44462</v>
      </c>
      <c r="I530" s="15">
        <f>IFERROR(__xludf.DUMMYFUNCTION("""COMPUTED_VALUE"""),0.6475578703703704)</f>
        <v>0.6475578704</v>
      </c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12">
        <v>3.47</v>
      </c>
      <c r="B531" s="12">
        <v>226.6</v>
      </c>
      <c r="C531" s="12">
        <v>501.0</v>
      </c>
      <c r="D531" s="12">
        <v>3.45</v>
      </c>
      <c r="E531" s="12">
        <v>0.64</v>
      </c>
      <c r="F531" s="12">
        <v>50.0</v>
      </c>
      <c r="G531" s="13">
        <v>44462.64765637732</v>
      </c>
      <c r="H531" s="14">
        <f>IFERROR(__xludf.DUMMYFUNCTION("SPLIT(G531, "", "")"),44462.0)</f>
        <v>44462</v>
      </c>
      <c r="I531" s="15">
        <f>IFERROR(__xludf.DUMMYFUNCTION("""COMPUTED_VALUE"""),0.6476620370370371)</f>
        <v>0.647662037</v>
      </c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12">
        <v>3.47</v>
      </c>
      <c r="B532" s="12">
        <v>226.7</v>
      </c>
      <c r="C532" s="12">
        <v>500.9</v>
      </c>
      <c r="D532" s="12">
        <v>3.45</v>
      </c>
      <c r="E532" s="12">
        <v>0.64</v>
      </c>
      <c r="F532" s="12">
        <v>50.0</v>
      </c>
      <c r="G532" s="13">
        <v>44462.64775400463</v>
      </c>
      <c r="H532" s="14">
        <f>IFERROR(__xludf.DUMMYFUNCTION("SPLIT(G532, "", "")"),44462.0)</f>
        <v>44462</v>
      </c>
      <c r="I532" s="15">
        <f>IFERROR(__xludf.DUMMYFUNCTION("""COMPUTED_VALUE"""),0.6477546296296296)</f>
        <v>0.6477546296</v>
      </c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12">
        <v>3.47</v>
      </c>
      <c r="B533" s="12">
        <v>226.7</v>
      </c>
      <c r="C533" s="12">
        <v>501.1</v>
      </c>
      <c r="D533" s="12">
        <v>3.46</v>
      </c>
      <c r="E533" s="12">
        <v>0.64</v>
      </c>
      <c r="F533" s="12">
        <v>50.0</v>
      </c>
      <c r="G533" s="13">
        <v>44462.64785303241</v>
      </c>
      <c r="H533" s="14">
        <f>IFERROR(__xludf.DUMMYFUNCTION("SPLIT(G533, "", "")"),44462.0)</f>
        <v>44462</v>
      </c>
      <c r="I533" s="15">
        <f>IFERROR(__xludf.DUMMYFUNCTION("""COMPUTED_VALUE"""),0.6478587962962963)</f>
        <v>0.6478587963</v>
      </c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12">
        <v>3.47</v>
      </c>
      <c r="B534" s="12">
        <v>226.6</v>
      </c>
      <c r="C534" s="12">
        <v>501.1</v>
      </c>
      <c r="D534" s="12">
        <v>3.46</v>
      </c>
      <c r="E534" s="12">
        <v>0.64</v>
      </c>
      <c r="F534" s="12">
        <v>49.9</v>
      </c>
      <c r="G534" s="13">
        <v>44462.6479553588</v>
      </c>
      <c r="H534" s="14">
        <f>IFERROR(__xludf.DUMMYFUNCTION("SPLIT(G534, "", "")"),44462.0)</f>
        <v>44462</v>
      </c>
      <c r="I534" s="15">
        <f>IFERROR(__xludf.DUMMYFUNCTION("""COMPUTED_VALUE"""),0.6479513888888889)</f>
        <v>0.6479513889</v>
      </c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12">
        <v>3.47</v>
      </c>
      <c r="B535" s="12">
        <v>226.7</v>
      </c>
      <c r="C535" s="12">
        <v>501.1</v>
      </c>
      <c r="D535" s="12">
        <v>3.46</v>
      </c>
      <c r="E535" s="12">
        <v>0.64</v>
      </c>
      <c r="F535" s="12">
        <v>49.9</v>
      </c>
      <c r="G535" s="13">
        <v>44462.64806047454</v>
      </c>
      <c r="H535" s="14">
        <f>IFERROR(__xludf.DUMMYFUNCTION("SPLIT(G535, "", "")"),44462.0)</f>
        <v>44462</v>
      </c>
      <c r="I535" s="15">
        <f>IFERROR(__xludf.DUMMYFUNCTION("""COMPUTED_VALUE"""),0.6480555555555556)</f>
        <v>0.6480555556</v>
      </c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12">
        <v>3.47</v>
      </c>
      <c r="B536" s="12">
        <v>226.8</v>
      </c>
      <c r="C536" s="12">
        <v>501.3</v>
      </c>
      <c r="D536" s="12">
        <v>3.46</v>
      </c>
      <c r="E536" s="12">
        <v>0.64</v>
      </c>
      <c r="F536" s="12">
        <v>49.9</v>
      </c>
      <c r="G536" s="13">
        <v>44462.64816162037</v>
      </c>
      <c r="H536" s="14">
        <f>IFERROR(__xludf.DUMMYFUNCTION("SPLIT(G536, "", "")"),44462.0)</f>
        <v>44462</v>
      </c>
      <c r="I536" s="15">
        <f>IFERROR(__xludf.DUMMYFUNCTION("""COMPUTED_VALUE"""),0.6481597222222222)</f>
        <v>0.6481597222</v>
      </c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12">
        <v>3.46</v>
      </c>
      <c r="B537" s="12">
        <v>226.9</v>
      </c>
      <c r="C537" s="12">
        <v>501.3</v>
      </c>
      <c r="D537" s="12">
        <v>3.46</v>
      </c>
      <c r="E537" s="12">
        <v>0.64</v>
      </c>
      <c r="F537" s="12">
        <v>50.0</v>
      </c>
      <c r="G537" s="13">
        <v>44462.64826077546</v>
      </c>
      <c r="H537" s="14">
        <f>IFERROR(__xludf.DUMMYFUNCTION("SPLIT(G537, "", "")"),44462.0)</f>
        <v>44462</v>
      </c>
      <c r="I537" s="15">
        <f>IFERROR(__xludf.DUMMYFUNCTION("""COMPUTED_VALUE"""),0.6482638888888889)</f>
        <v>0.6482638889</v>
      </c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12">
        <v>3.47</v>
      </c>
      <c r="B538" s="12">
        <v>226.8</v>
      </c>
      <c r="C538" s="12">
        <v>501.4</v>
      </c>
      <c r="D538" s="12">
        <v>3.46</v>
      </c>
      <c r="E538" s="12">
        <v>0.64</v>
      </c>
      <c r="F538" s="12">
        <v>50.0</v>
      </c>
      <c r="G538" s="13">
        <v>44462.64835670139</v>
      </c>
      <c r="H538" s="14">
        <f>IFERROR(__xludf.DUMMYFUNCTION("SPLIT(G538, "", "")"),44462.0)</f>
        <v>44462</v>
      </c>
      <c r="I538" s="15">
        <f>IFERROR(__xludf.DUMMYFUNCTION("""COMPUTED_VALUE"""),0.6483564814814815)</f>
        <v>0.6483564815</v>
      </c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12">
        <v>3.46</v>
      </c>
      <c r="B539" s="12">
        <v>227.0</v>
      </c>
      <c r="C539" s="12">
        <v>501.4</v>
      </c>
      <c r="D539" s="12">
        <v>3.46</v>
      </c>
      <c r="E539" s="12">
        <v>0.64</v>
      </c>
      <c r="F539" s="12">
        <v>50.0</v>
      </c>
      <c r="G539" s="13">
        <v>44462.64845467593</v>
      </c>
      <c r="H539" s="14">
        <f>IFERROR(__xludf.DUMMYFUNCTION("SPLIT(G539, "", "")"),44462.0)</f>
        <v>44462</v>
      </c>
      <c r="I539" s="15">
        <f>IFERROR(__xludf.DUMMYFUNCTION("""COMPUTED_VALUE"""),0.648449074074074)</f>
        <v>0.6484490741</v>
      </c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12">
        <v>3.48</v>
      </c>
      <c r="B540" s="12">
        <v>226.7</v>
      </c>
      <c r="C540" s="12">
        <v>501.4</v>
      </c>
      <c r="D540" s="12">
        <v>3.46</v>
      </c>
      <c r="E540" s="12">
        <v>0.64</v>
      </c>
      <c r="F540" s="12">
        <v>50.0</v>
      </c>
      <c r="G540" s="13">
        <v>44462.64855799769</v>
      </c>
      <c r="H540" s="14">
        <f>IFERROR(__xludf.DUMMYFUNCTION("SPLIT(G540, "", "")"),44462.0)</f>
        <v>44462</v>
      </c>
      <c r="I540" s="15">
        <f>IFERROR(__xludf.DUMMYFUNCTION("""COMPUTED_VALUE"""),0.6485532407407407)</f>
        <v>0.6485532407</v>
      </c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12">
        <v>3.48</v>
      </c>
      <c r="B541" s="12">
        <v>226.7</v>
      </c>
      <c r="C541" s="12">
        <v>501.4</v>
      </c>
      <c r="D541" s="12">
        <v>3.47</v>
      </c>
      <c r="E541" s="12">
        <v>0.64</v>
      </c>
      <c r="F541" s="12">
        <v>50.0</v>
      </c>
      <c r="G541" s="13">
        <v>44462.64866006945</v>
      </c>
      <c r="H541" s="14">
        <f>IFERROR(__xludf.DUMMYFUNCTION("SPLIT(G541, "", "")"),44462.0)</f>
        <v>44462</v>
      </c>
      <c r="I541" s="15">
        <f>IFERROR(__xludf.DUMMYFUNCTION("""COMPUTED_VALUE"""),0.6486574074074074)</f>
        <v>0.6486574074</v>
      </c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12">
        <v>3.48</v>
      </c>
      <c r="B542" s="12">
        <v>226.8</v>
      </c>
      <c r="C542" s="12">
        <v>501.7</v>
      </c>
      <c r="D542" s="12">
        <v>3.47</v>
      </c>
      <c r="E542" s="12">
        <v>0.64</v>
      </c>
      <c r="F542" s="12">
        <v>50.0</v>
      </c>
      <c r="G542" s="13">
        <v>44462.64875789352</v>
      </c>
      <c r="H542" s="14">
        <f>IFERROR(__xludf.DUMMYFUNCTION("SPLIT(G542, "", "")"),44462.0)</f>
        <v>44462</v>
      </c>
      <c r="I542" s="15">
        <f>IFERROR(__xludf.DUMMYFUNCTION("""COMPUTED_VALUE"""),0.6487615740740741)</f>
        <v>0.6487615741</v>
      </c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12">
        <v>3.48</v>
      </c>
      <c r="B543" s="12">
        <v>226.8</v>
      </c>
      <c r="C543" s="12">
        <v>501.6</v>
      </c>
      <c r="D543" s="12">
        <v>3.47</v>
      </c>
      <c r="E543" s="12">
        <v>0.63</v>
      </c>
      <c r="F543" s="12">
        <v>50.0</v>
      </c>
      <c r="G543" s="13">
        <v>44462.64885561343</v>
      </c>
      <c r="H543" s="14">
        <f>IFERROR(__xludf.DUMMYFUNCTION("SPLIT(G543, "", "")"),44462.0)</f>
        <v>44462</v>
      </c>
      <c r="I543" s="15">
        <f>IFERROR(__xludf.DUMMYFUNCTION("""COMPUTED_VALUE"""),0.6488541666666666)</f>
        <v>0.6488541667</v>
      </c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12">
        <v>3.48</v>
      </c>
      <c r="B544" s="12">
        <v>226.8</v>
      </c>
      <c r="C544" s="12">
        <v>501.7</v>
      </c>
      <c r="D544" s="12">
        <v>3.47</v>
      </c>
      <c r="E544" s="12">
        <v>0.64</v>
      </c>
      <c r="F544" s="12">
        <v>50.0</v>
      </c>
      <c r="G544" s="13">
        <v>44462.64895278936</v>
      </c>
      <c r="H544" s="14">
        <f>IFERROR(__xludf.DUMMYFUNCTION("SPLIT(G544, "", "")"),44462.0)</f>
        <v>44462</v>
      </c>
      <c r="I544" s="15">
        <f>IFERROR(__xludf.DUMMYFUNCTION("""COMPUTED_VALUE"""),0.6489583333333333)</f>
        <v>0.6489583333</v>
      </c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12">
        <v>3.48</v>
      </c>
      <c r="B545" s="12">
        <v>226.9</v>
      </c>
      <c r="C545" s="12">
        <v>501.7</v>
      </c>
      <c r="D545" s="12">
        <v>3.47</v>
      </c>
      <c r="E545" s="12">
        <v>0.64</v>
      </c>
      <c r="F545" s="12">
        <v>50.0</v>
      </c>
      <c r="G545" s="13">
        <v>44462.64905309028</v>
      </c>
      <c r="H545" s="14">
        <f>IFERROR(__xludf.DUMMYFUNCTION("SPLIT(G545, "", "")"),44462.0)</f>
        <v>44462</v>
      </c>
      <c r="I545" s="15">
        <f>IFERROR(__xludf.DUMMYFUNCTION("""COMPUTED_VALUE"""),0.649050925925926)</f>
        <v>0.6490509259</v>
      </c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12">
        <v>3.48</v>
      </c>
      <c r="B546" s="12">
        <v>226.8</v>
      </c>
      <c r="C546" s="12">
        <v>501.7</v>
      </c>
      <c r="D546" s="12">
        <v>3.47</v>
      </c>
      <c r="E546" s="12">
        <v>0.64</v>
      </c>
      <c r="F546" s="12">
        <v>50.0</v>
      </c>
      <c r="G546" s="13">
        <v>44462.64914956018</v>
      </c>
      <c r="H546" s="14">
        <f>IFERROR(__xludf.DUMMYFUNCTION("SPLIT(G546, "", "")"),44462.0)</f>
        <v>44462</v>
      </c>
      <c r="I546" s="15">
        <f>IFERROR(__xludf.DUMMYFUNCTION("""COMPUTED_VALUE"""),0.6491550925925926)</f>
        <v>0.6491550926</v>
      </c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12">
        <v>3.48</v>
      </c>
      <c r="B547" s="12">
        <v>226.8</v>
      </c>
      <c r="C547" s="12">
        <v>501.8</v>
      </c>
      <c r="D547" s="12">
        <v>3.47</v>
      </c>
      <c r="E547" s="12">
        <v>0.64</v>
      </c>
      <c r="F547" s="12">
        <v>49.9</v>
      </c>
      <c r="G547" s="13">
        <v>44462.649249525464</v>
      </c>
      <c r="H547" s="14">
        <f>IFERROR(__xludf.DUMMYFUNCTION("SPLIT(G547, "", "")"),44462.0)</f>
        <v>44462</v>
      </c>
      <c r="I547" s="15">
        <f>IFERROR(__xludf.DUMMYFUNCTION("""COMPUTED_VALUE"""),0.6492476851851852)</f>
        <v>0.6492476852</v>
      </c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12">
        <v>3.48</v>
      </c>
      <c r="B548" s="12">
        <v>226.7</v>
      </c>
      <c r="C548" s="12">
        <v>501.8</v>
      </c>
      <c r="D548" s="12">
        <v>3.47</v>
      </c>
      <c r="E548" s="12">
        <v>0.64</v>
      </c>
      <c r="F548" s="12">
        <v>49.9</v>
      </c>
      <c r="G548" s="13">
        <v>44462.64935252315</v>
      </c>
      <c r="H548" s="14">
        <f>IFERROR(__xludf.DUMMYFUNCTION("SPLIT(G548, "", "")"),44462.0)</f>
        <v>44462</v>
      </c>
      <c r="I548" s="15">
        <f>IFERROR(__xludf.DUMMYFUNCTION("""COMPUTED_VALUE"""),0.6493518518518518)</f>
        <v>0.6493518519</v>
      </c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12">
        <v>3.47</v>
      </c>
      <c r="B549" s="12">
        <v>226.7</v>
      </c>
      <c r="C549" s="12">
        <v>501.8</v>
      </c>
      <c r="D549" s="12">
        <v>3.47</v>
      </c>
      <c r="E549" s="12">
        <v>0.64</v>
      </c>
      <c r="F549" s="12">
        <v>49.9</v>
      </c>
      <c r="G549" s="13">
        <v>44462.64944784722</v>
      </c>
      <c r="H549" s="14">
        <f>IFERROR(__xludf.DUMMYFUNCTION("SPLIT(G549, "", "")"),44462.0)</f>
        <v>44462</v>
      </c>
      <c r="I549" s="15">
        <f>IFERROR(__xludf.DUMMYFUNCTION("""COMPUTED_VALUE"""),0.6494444444444445)</f>
        <v>0.6494444444</v>
      </c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12">
        <v>3.48</v>
      </c>
      <c r="B550" s="12">
        <v>226.7</v>
      </c>
      <c r="C550" s="12">
        <v>502.0</v>
      </c>
      <c r="D550" s="12">
        <v>3.48</v>
      </c>
      <c r="E550" s="12">
        <v>0.64</v>
      </c>
      <c r="F550" s="12">
        <v>49.9</v>
      </c>
      <c r="G550" s="13">
        <v>44462.64954388889</v>
      </c>
      <c r="H550" s="14">
        <f>IFERROR(__xludf.DUMMYFUNCTION("SPLIT(G550, "", "")"),44462.0)</f>
        <v>44462</v>
      </c>
      <c r="I550" s="15">
        <f>IFERROR(__xludf.DUMMYFUNCTION("""COMPUTED_VALUE"""),0.6495486111111111)</f>
        <v>0.6495486111</v>
      </c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12">
        <v>3.48</v>
      </c>
      <c r="B551" s="12">
        <v>226.7</v>
      </c>
      <c r="C551" s="12">
        <v>502.0</v>
      </c>
      <c r="D551" s="12">
        <v>3.48</v>
      </c>
      <c r="E551" s="12">
        <v>0.64</v>
      </c>
      <c r="F551" s="12">
        <v>49.9</v>
      </c>
      <c r="G551" s="13">
        <v>44462.64964662037</v>
      </c>
      <c r="H551" s="14">
        <f>IFERROR(__xludf.DUMMYFUNCTION("SPLIT(G551, "", "")"),44462.0)</f>
        <v>44462</v>
      </c>
      <c r="I551" s="15">
        <f>IFERROR(__xludf.DUMMYFUNCTION("""COMPUTED_VALUE"""),0.6496412037037037)</f>
        <v>0.6496412037</v>
      </c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12">
        <v>3.49</v>
      </c>
      <c r="B552" s="12">
        <v>226.7</v>
      </c>
      <c r="C552" s="12">
        <v>502.2</v>
      </c>
      <c r="D552" s="12">
        <v>3.48</v>
      </c>
      <c r="E552" s="12">
        <v>0.64</v>
      </c>
      <c r="F552" s="12">
        <v>50.0</v>
      </c>
      <c r="G552" s="13">
        <v>44462.64975358796</v>
      </c>
      <c r="H552" s="14">
        <f>IFERROR(__xludf.DUMMYFUNCTION("SPLIT(G552, "", "")"),44462.0)</f>
        <v>44462</v>
      </c>
      <c r="I552" s="15">
        <f>IFERROR(__xludf.DUMMYFUNCTION("""COMPUTED_VALUE"""),0.6497569444444444)</f>
        <v>0.6497569444</v>
      </c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12">
        <v>3.48</v>
      </c>
      <c r="B553" s="12">
        <v>226.7</v>
      </c>
      <c r="C553" s="12">
        <v>502.1</v>
      </c>
      <c r="D553" s="12">
        <v>3.48</v>
      </c>
      <c r="E553" s="12">
        <v>0.64</v>
      </c>
      <c r="F553" s="12">
        <v>49.9</v>
      </c>
      <c r="G553" s="13">
        <v>44462.64985796296</v>
      </c>
      <c r="H553" s="14">
        <f>IFERROR(__xludf.DUMMYFUNCTION("SPLIT(G553, "", "")"),44462.0)</f>
        <v>44462</v>
      </c>
      <c r="I553" s="15">
        <f>IFERROR(__xludf.DUMMYFUNCTION("""COMPUTED_VALUE"""),0.6498611111111111)</f>
        <v>0.6498611111</v>
      </c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12">
        <v>3.49</v>
      </c>
      <c r="B554" s="12">
        <v>226.6</v>
      </c>
      <c r="C554" s="12">
        <v>502.3</v>
      </c>
      <c r="D554" s="12">
        <v>3.48</v>
      </c>
      <c r="E554" s="12">
        <v>0.64</v>
      </c>
      <c r="F554" s="12">
        <v>49.9</v>
      </c>
      <c r="G554" s="13">
        <v>44462.649963379634</v>
      </c>
      <c r="H554" s="14">
        <f>IFERROR(__xludf.DUMMYFUNCTION("SPLIT(G554, "", "")"),44462.0)</f>
        <v>44462</v>
      </c>
      <c r="I554" s="15">
        <f>IFERROR(__xludf.DUMMYFUNCTION("""COMPUTED_VALUE"""),0.6499652777777778)</f>
        <v>0.6499652778</v>
      </c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12">
        <v>3.49</v>
      </c>
      <c r="B555" s="12">
        <v>226.6</v>
      </c>
      <c r="C555" s="12">
        <v>502.3</v>
      </c>
      <c r="D555" s="12">
        <v>3.48</v>
      </c>
      <c r="E555" s="12">
        <v>0.63</v>
      </c>
      <c r="F555" s="12">
        <v>49.9</v>
      </c>
      <c r="G555" s="13">
        <v>44462.650066608796</v>
      </c>
      <c r="H555" s="14">
        <f>IFERROR(__xludf.DUMMYFUNCTION("SPLIT(G555, "", "")"),44462.0)</f>
        <v>44462</v>
      </c>
      <c r="I555" s="15">
        <f>IFERROR(__xludf.DUMMYFUNCTION("""COMPUTED_VALUE"""),0.6500694444444445)</f>
        <v>0.6500694444</v>
      </c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12">
        <v>3.5</v>
      </c>
      <c r="B556" s="12">
        <v>226.6</v>
      </c>
      <c r="C556" s="12">
        <v>502.4</v>
      </c>
      <c r="D556" s="12">
        <v>3.48</v>
      </c>
      <c r="E556" s="12">
        <v>0.63</v>
      </c>
      <c r="F556" s="12">
        <v>49.9</v>
      </c>
      <c r="G556" s="13">
        <v>44462.65017613426</v>
      </c>
      <c r="H556" s="14">
        <f>IFERROR(__xludf.DUMMYFUNCTION("SPLIT(G556, "", "")"),44462.0)</f>
        <v>44462</v>
      </c>
      <c r="I556" s="15">
        <f>IFERROR(__xludf.DUMMYFUNCTION("""COMPUTED_VALUE"""),0.6501736111111112)</f>
        <v>0.6501736111</v>
      </c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12">
        <v>3.48</v>
      </c>
      <c r="B557" s="12">
        <v>226.7</v>
      </c>
      <c r="C557" s="12">
        <v>502.4</v>
      </c>
      <c r="D557" s="12">
        <v>3.48</v>
      </c>
      <c r="E557" s="12">
        <v>0.64</v>
      </c>
      <c r="F557" s="12">
        <v>50.0</v>
      </c>
      <c r="G557" s="13">
        <v>44462.65027302083</v>
      </c>
      <c r="H557" s="14">
        <f>IFERROR(__xludf.DUMMYFUNCTION("SPLIT(G557, "", "")"),44462.0)</f>
        <v>44462</v>
      </c>
      <c r="I557" s="15">
        <f>IFERROR(__xludf.DUMMYFUNCTION("""COMPUTED_VALUE"""),0.6502777777777777)</f>
        <v>0.6502777778</v>
      </c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12">
        <v>3.49</v>
      </c>
      <c r="B558" s="12">
        <v>226.6</v>
      </c>
      <c r="C558" s="12">
        <v>502.4</v>
      </c>
      <c r="D558" s="12">
        <v>3.49</v>
      </c>
      <c r="E558" s="12">
        <v>0.63</v>
      </c>
      <c r="F558" s="12">
        <v>50.0</v>
      </c>
      <c r="G558" s="13">
        <v>44462.650372233795</v>
      </c>
      <c r="H558" s="14">
        <f>IFERROR(__xludf.DUMMYFUNCTION("SPLIT(G558, "", "")"),44462.0)</f>
        <v>44462</v>
      </c>
      <c r="I558" s="15">
        <f>IFERROR(__xludf.DUMMYFUNCTION("""COMPUTED_VALUE"""),0.6503703703703704)</f>
        <v>0.6503703704</v>
      </c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12">
        <v>3.49</v>
      </c>
      <c r="B559" s="12">
        <v>226.4</v>
      </c>
      <c r="C559" s="12">
        <v>502.4</v>
      </c>
      <c r="D559" s="12">
        <v>3.49</v>
      </c>
      <c r="E559" s="12">
        <v>0.64</v>
      </c>
      <c r="F559" s="12">
        <v>50.0</v>
      </c>
      <c r="G559" s="13">
        <v>44462.65047832176</v>
      </c>
      <c r="H559" s="14">
        <f>IFERROR(__xludf.DUMMYFUNCTION("SPLIT(G559, "", "")"),44462.0)</f>
        <v>44462</v>
      </c>
      <c r="I559" s="15">
        <f>IFERROR(__xludf.DUMMYFUNCTION("""COMPUTED_VALUE"""),0.6504745370370371)</f>
        <v>0.650474537</v>
      </c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12">
        <v>3.5</v>
      </c>
      <c r="B560" s="12">
        <v>226.8</v>
      </c>
      <c r="C560" s="12">
        <v>502.5</v>
      </c>
      <c r="D560" s="12">
        <v>3.49</v>
      </c>
      <c r="E560" s="12">
        <v>0.63</v>
      </c>
      <c r="F560" s="12">
        <v>50.0</v>
      </c>
      <c r="G560" s="13">
        <v>44462.65058239583</v>
      </c>
      <c r="H560" s="14">
        <f>IFERROR(__xludf.DUMMYFUNCTION("SPLIT(G560, "", "")"),44462.0)</f>
        <v>44462</v>
      </c>
      <c r="I560" s="15">
        <f>IFERROR(__xludf.DUMMYFUNCTION("""COMPUTED_VALUE"""),0.6505787037037037)</f>
        <v>0.6505787037</v>
      </c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12">
        <v>3.5</v>
      </c>
      <c r="B561" s="12">
        <v>226.8</v>
      </c>
      <c r="C561" s="12">
        <v>502.6</v>
      </c>
      <c r="D561" s="12">
        <v>3.49</v>
      </c>
      <c r="E561" s="12">
        <v>0.63</v>
      </c>
      <c r="F561" s="12">
        <v>50.0</v>
      </c>
      <c r="G561" s="13">
        <v>44462.65068449074</v>
      </c>
      <c r="H561" s="14">
        <f>IFERROR(__xludf.DUMMYFUNCTION("SPLIT(G561, "", "")"),44462.0)</f>
        <v>44462</v>
      </c>
      <c r="I561" s="15">
        <f>IFERROR(__xludf.DUMMYFUNCTION("""COMPUTED_VALUE"""),0.6506828703703704)</f>
        <v>0.6506828704</v>
      </c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12">
        <v>3.49</v>
      </c>
      <c r="B562" s="12">
        <v>226.8</v>
      </c>
      <c r="C562" s="12">
        <v>502.5</v>
      </c>
      <c r="D562" s="12">
        <v>3.49</v>
      </c>
      <c r="E562" s="12">
        <v>0.64</v>
      </c>
      <c r="F562" s="12">
        <v>50.0</v>
      </c>
      <c r="G562" s="13">
        <v>44462.65078107639</v>
      </c>
      <c r="H562" s="14">
        <f>IFERROR(__xludf.DUMMYFUNCTION("SPLIT(G562, "", "")"),44462.0)</f>
        <v>44462</v>
      </c>
      <c r="I562" s="15">
        <f>IFERROR(__xludf.DUMMYFUNCTION("""COMPUTED_VALUE"""),0.650775462962963)</f>
        <v>0.650775463</v>
      </c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12">
        <v>3.49</v>
      </c>
      <c r="B563" s="12">
        <v>226.9</v>
      </c>
      <c r="C563" s="12">
        <v>502.7</v>
      </c>
      <c r="D563" s="12">
        <v>3.49</v>
      </c>
      <c r="E563" s="12">
        <v>0.64</v>
      </c>
      <c r="F563" s="12">
        <v>50.0</v>
      </c>
      <c r="G563" s="13">
        <v>44462.65087745371</v>
      </c>
      <c r="H563" s="14">
        <f>IFERROR(__xludf.DUMMYFUNCTION("SPLIT(G563, "", "")"),44462.0)</f>
        <v>44462</v>
      </c>
      <c r="I563" s="15">
        <f>IFERROR(__xludf.DUMMYFUNCTION("""COMPUTED_VALUE"""),0.6508796296296296)</f>
        <v>0.6508796296</v>
      </c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12">
        <v>3.48</v>
      </c>
      <c r="B564" s="12">
        <v>227.0</v>
      </c>
      <c r="C564" s="12">
        <v>502.8</v>
      </c>
      <c r="D564" s="12">
        <v>3.49</v>
      </c>
      <c r="E564" s="12">
        <v>0.64</v>
      </c>
      <c r="F564" s="12">
        <v>50.0</v>
      </c>
      <c r="G564" s="13">
        <v>44462.65097778935</v>
      </c>
      <c r="H564" s="14">
        <f>IFERROR(__xludf.DUMMYFUNCTION("SPLIT(G564, "", "")"),44462.0)</f>
        <v>44462</v>
      </c>
      <c r="I564" s="15">
        <f>IFERROR(__xludf.DUMMYFUNCTION("""COMPUTED_VALUE"""),0.6509722222222222)</f>
        <v>0.6509722222</v>
      </c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12">
        <v>3.49</v>
      </c>
      <c r="B565" s="12">
        <v>227.0</v>
      </c>
      <c r="C565" s="12">
        <v>502.9</v>
      </c>
      <c r="D565" s="12">
        <v>3.49</v>
      </c>
      <c r="E565" s="12">
        <v>0.63</v>
      </c>
      <c r="F565" s="12">
        <v>50.0</v>
      </c>
      <c r="G565" s="13">
        <v>44462.651080138894</v>
      </c>
      <c r="H565" s="14">
        <f>IFERROR(__xludf.DUMMYFUNCTION("SPLIT(G565, "", "")"),44462.0)</f>
        <v>44462</v>
      </c>
      <c r="I565" s="15">
        <f>IFERROR(__xludf.DUMMYFUNCTION("""COMPUTED_VALUE"""),0.6510763888888889)</f>
        <v>0.6510763889</v>
      </c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12">
        <v>3.49</v>
      </c>
      <c r="B566" s="12">
        <v>227.1</v>
      </c>
      <c r="C566" s="12">
        <v>503.0</v>
      </c>
      <c r="D566" s="12">
        <v>3.5</v>
      </c>
      <c r="E566" s="12">
        <v>0.64</v>
      </c>
      <c r="F566" s="12">
        <v>50.0</v>
      </c>
      <c r="G566" s="13">
        <v>44462.65117622685</v>
      </c>
      <c r="H566" s="14">
        <f>IFERROR(__xludf.DUMMYFUNCTION("SPLIT(G566, "", "")"),44462.0)</f>
        <v>44462</v>
      </c>
      <c r="I566" s="15">
        <f>IFERROR(__xludf.DUMMYFUNCTION("""COMPUTED_VALUE"""),0.6511805555555555)</f>
        <v>0.6511805556</v>
      </c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12">
        <v>3.49</v>
      </c>
      <c r="B567" s="12">
        <v>227.0</v>
      </c>
      <c r="C567" s="12">
        <v>502.9</v>
      </c>
      <c r="D567" s="12">
        <v>3.5</v>
      </c>
      <c r="E567" s="12">
        <v>0.63</v>
      </c>
      <c r="F567" s="12">
        <v>50.0</v>
      </c>
      <c r="G567" s="13">
        <v>44462.65127377315</v>
      </c>
      <c r="H567" s="14">
        <f>IFERROR(__xludf.DUMMYFUNCTION("SPLIT(G567, "", "")"),44462.0)</f>
        <v>44462</v>
      </c>
      <c r="I567" s="15">
        <f>IFERROR(__xludf.DUMMYFUNCTION("""COMPUTED_VALUE"""),0.6512731481481482)</f>
        <v>0.6512731481</v>
      </c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12">
        <v>3.49</v>
      </c>
      <c r="B568" s="12">
        <v>227.1</v>
      </c>
      <c r="C568" s="12">
        <v>503.0</v>
      </c>
      <c r="D568" s="12">
        <v>3.5</v>
      </c>
      <c r="E568" s="12">
        <v>0.63</v>
      </c>
      <c r="F568" s="12">
        <v>50.0</v>
      </c>
      <c r="G568" s="13">
        <v>44462.65137373842</v>
      </c>
      <c r="H568" s="14">
        <f>IFERROR(__xludf.DUMMYFUNCTION("SPLIT(G568, "", "")"),44462.0)</f>
        <v>44462</v>
      </c>
      <c r="I568" s="15">
        <f>IFERROR(__xludf.DUMMYFUNCTION("""COMPUTED_VALUE"""),0.6513773148148149)</f>
        <v>0.6513773148</v>
      </c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12">
        <v>3.49</v>
      </c>
      <c r="B569" s="12">
        <v>227.0</v>
      </c>
      <c r="C569" s="12">
        <v>503.1</v>
      </c>
      <c r="D569" s="12">
        <v>3.5</v>
      </c>
      <c r="E569" s="12">
        <v>0.63</v>
      </c>
      <c r="F569" s="12">
        <v>50.0</v>
      </c>
      <c r="G569" s="13">
        <v>44462.65147403935</v>
      </c>
      <c r="H569" s="14">
        <f>IFERROR(__xludf.DUMMYFUNCTION("SPLIT(G569, "", "")"),44462.0)</f>
        <v>44462</v>
      </c>
      <c r="I569" s="15">
        <f>IFERROR(__xludf.DUMMYFUNCTION("""COMPUTED_VALUE"""),0.6514699074074074)</f>
        <v>0.6514699074</v>
      </c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12">
        <v>3.49</v>
      </c>
      <c r="B570" s="12">
        <v>226.8</v>
      </c>
      <c r="C570" s="12">
        <v>503.1</v>
      </c>
      <c r="D570" s="12">
        <v>3.5</v>
      </c>
      <c r="E570" s="12">
        <v>0.64</v>
      </c>
      <c r="F570" s="12">
        <v>50.0</v>
      </c>
      <c r="G570" s="13">
        <v>44462.651574421296</v>
      </c>
      <c r="H570" s="14">
        <f>IFERROR(__xludf.DUMMYFUNCTION("SPLIT(G570, "", "")"),44462.0)</f>
        <v>44462</v>
      </c>
      <c r="I570" s="15">
        <f>IFERROR(__xludf.DUMMYFUNCTION("""COMPUTED_VALUE"""),0.6515740740740741)</f>
        <v>0.6515740741</v>
      </c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12">
        <v>3.5</v>
      </c>
      <c r="B571" s="12">
        <v>226.8</v>
      </c>
      <c r="C571" s="12">
        <v>503.1</v>
      </c>
      <c r="D571" s="12">
        <v>3.5</v>
      </c>
      <c r="E571" s="12">
        <v>0.63</v>
      </c>
      <c r="F571" s="12">
        <v>50.0</v>
      </c>
      <c r="G571" s="13">
        <v>44462.651676064816</v>
      </c>
      <c r="H571" s="14">
        <f>IFERROR(__xludf.DUMMYFUNCTION("SPLIT(G571, "", "")"),44462.0)</f>
        <v>44462</v>
      </c>
      <c r="I571" s="15">
        <f>IFERROR(__xludf.DUMMYFUNCTION("""COMPUTED_VALUE"""),0.6516782407407408)</f>
        <v>0.6516782407</v>
      </c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12">
        <v>3.49</v>
      </c>
      <c r="B572" s="12">
        <v>226.8</v>
      </c>
      <c r="C572" s="12">
        <v>503.1</v>
      </c>
      <c r="D572" s="12">
        <v>3.5</v>
      </c>
      <c r="E572" s="12">
        <v>0.64</v>
      </c>
      <c r="F572" s="12">
        <v>49.9</v>
      </c>
      <c r="G572" s="13">
        <v>44462.65177805556</v>
      </c>
      <c r="H572" s="14">
        <f>IFERROR(__xludf.DUMMYFUNCTION("SPLIT(G572, "", "")"),44462.0)</f>
        <v>44462</v>
      </c>
      <c r="I572" s="15">
        <f>IFERROR(__xludf.DUMMYFUNCTION("""COMPUTED_VALUE"""),0.6517824074074074)</f>
        <v>0.6517824074</v>
      </c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12">
        <v>3.5</v>
      </c>
      <c r="B573" s="12">
        <v>226.7</v>
      </c>
      <c r="C573" s="12">
        <v>503.2</v>
      </c>
      <c r="D573" s="12">
        <v>3.5</v>
      </c>
      <c r="E573" s="12">
        <v>0.63</v>
      </c>
      <c r="F573" s="12">
        <v>49.9</v>
      </c>
      <c r="G573" s="13">
        <v>44462.65187583333</v>
      </c>
      <c r="H573" s="14">
        <f>IFERROR(__xludf.DUMMYFUNCTION("SPLIT(G573, "", "")"),44462.0)</f>
        <v>44462</v>
      </c>
      <c r="I573" s="15">
        <f>IFERROR(__xludf.DUMMYFUNCTION("""COMPUTED_VALUE"""),0.651875)</f>
        <v>0.651875</v>
      </c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12">
        <v>3.5</v>
      </c>
      <c r="B574" s="12">
        <v>226.6</v>
      </c>
      <c r="C574" s="12">
        <v>503.3</v>
      </c>
      <c r="D574" s="12">
        <v>3.51</v>
      </c>
      <c r="E574" s="12">
        <v>0.63</v>
      </c>
      <c r="F574" s="12">
        <v>49.9</v>
      </c>
      <c r="G574" s="13">
        <v>44462.65197456018</v>
      </c>
      <c r="H574" s="14">
        <f>IFERROR(__xludf.DUMMYFUNCTION("SPLIT(G574, "", "")"),44462.0)</f>
        <v>44462</v>
      </c>
      <c r="I574" s="15">
        <f>IFERROR(__xludf.DUMMYFUNCTION("""COMPUTED_VALUE"""),0.6519791666666667)</f>
        <v>0.6519791667</v>
      </c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12">
        <v>3.5</v>
      </c>
      <c r="B575" s="12">
        <v>226.7</v>
      </c>
      <c r="C575" s="12">
        <v>503.4</v>
      </c>
      <c r="D575" s="12">
        <v>3.51</v>
      </c>
      <c r="E575" s="12">
        <v>0.63</v>
      </c>
      <c r="F575" s="12">
        <v>50.0</v>
      </c>
      <c r="G575" s="13">
        <v>44462.652072048615</v>
      </c>
      <c r="H575" s="14">
        <f>IFERROR(__xludf.DUMMYFUNCTION("SPLIT(G575, "", "")"),44462.0)</f>
        <v>44462</v>
      </c>
      <c r="I575" s="15">
        <f>IFERROR(__xludf.DUMMYFUNCTION("""COMPUTED_VALUE"""),0.6520717592592593)</f>
        <v>0.6520717593</v>
      </c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12">
        <v>3.5</v>
      </c>
      <c r="B576" s="12">
        <v>226.7</v>
      </c>
      <c r="C576" s="12">
        <v>503.4</v>
      </c>
      <c r="D576" s="12">
        <v>3.51</v>
      </c>
      <c r="E576" s="12">
        <v>0.63</v>
      </c>
      <c r="F576" s="12">
        <v>50.0</v>
      </c>
      <c r="G576" s="13">
        <v>44462.65216857639</v>
      </c>
      <c r="H576" s="14">
        <f>IFERROR(__xludf.DUMMYFUNCTION("SPLIT(G576, "", "")"),44462.0)</f>
        <v>44462</v>
      </c>
      <c r="I576" s="15">
        <f>IFERROR(__xludf.DUMMYFUNCTION("""COMPUTED_VALUE"""),0.6521643518518518)</f>
        <v>0.6521643519</v>
      </c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12">
        <v>3.5</v>
      </c>
      <c r="B577" s="12">
        <v>226.7</v>
      </c>
      <c r="C577" s="12">
        <v>503.5</v>
      </c>
      <c r="D577" s="12">
        <v>3.51</v>
      </c>
      <c r="E577" s="12">
        <v>0.63</v>
      </c>
      <c r="F577" s="12">
        <v>50.0</v>
      </c>
      <c r="G577" s="13">
        <v>44462.65226899306</v>
      </c>
      <c r="H577" s="14">
        <f>IFERROR(__xludf.DUMMYFUNCTION("SPLIT(G577, "", "")"),44462.0)</f>
        <v>44462</v>
      </c>
      <c r="I577" s="15">
        <f>IFERROR(__xludf.DUMMYFUNCTION("""COMPUTED_VALUE"""),0.6522685185185185)</f>
        <v>0.6522685185</v>
      </c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12">
        <v>3.5</v>
      </c>
      <c r="B578" s="12">
        <v>226.8</v>
      </c>
      <c r="C578" s="12">
        <v>503.6</v>
      </c>
      <c r="D578" s="12">
        <v>3.51</v>
      </c>
      <c r="E578" s="12">
        <v>0.63</v>
      </c>
      <c r="F578" s="12">
        <v>50.0</v>
      </c>
      <c r="G578" s="13">
        <v>44462.65237195602</v>
      </c>
      <c r="H578" s="14">
        <f>IFERROR(__xludf.DUMMYFUNCTION("SPLIT(G578, "", "")"),44462.0)</f>
        <v>44462</v>
      </c>
      <c r="I578" s="15">
        <f>IFERROR(__xludf.DUMMYFUNCTION("""COMPUTED_VALUE"""),0.6523726851851852)</f>
        <v>0.6523726852</v>
      </c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12">
        <v>3.5</v>
      </c>
      <c r="B579" s="12">
        <v>226.7</v>
      </c>
      <c r="C579" s="12">
        <v>503.6</v>
      </c>
      <c r="D579" s="12">
        <v>3.51</v>
      </c>
      <c r="E579" s="12">
        <v>0.63</v>
      </c>
      <c r="F579" s="12">
        <v>50.0</v>
      </c>
      <c r="G579" s="13">
        <v>44462.65247173611</v>
      </c>
      <c r="H579" s="14">
        <f>IFERROR(__xludf.DUMMYFUNCTION("SPLIT(G579, "", "")"),44462.0)</f>
        <v>44462</v>
      </c>
      <c r="I579" s="15">
        <f>IFERROR(__xludf.DUMMYFUNCTION("""COMPUTED_VALUE"""),0.6524768518518519)</f>
        <v>0.6524768519</v>
      </c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12">
        <v>3.51</v>
      </c>
      <c r="B580" s="12">
        <v>226.7</v>
      </c>
      <c r="C580" s="12">
        <v>503.7</v>
      </c>
      <c r="D580" s="12">
        <v>3.51</v>
      </c>
      <c r="E580" s="12">
        <v>0.63</v>
      </c>
      <c r="F580" s="12">
        <v>50.0</v>
      </c>
      <c r="G580" s="13">
        <v>44462.65257478009</v>
      </c>
      <c r="H580" s="14">
        <f>IFERROR(__xludf.DUMMYFUNCTION("SPLIT(G580, "", "")"),44462.0)</f>
        <v>44462</v>
      </c>
      <c r="I580" s="15">
        <f>IFERROR(__xludf.DUMMYFUNCTION("""COMPUTED_VALUE"""),0.6525694444444444)</f>
        <v>0.6525694444</v>
      </c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12">
        <v>3.51</v>
      </c>
      <c r="B581" s="12">
        <v>226.7</v>
      </c>
      <c r="C581" s="12">
        <v>503.8</v>
      </c>
      <c r="D581" s="12">
        <v>3.51</v>
      </c>
      <c r="E581" s="12">
        <v>0.63</v>
      </c>
      <c r="F581" s="12">
        <v>50.0</v>
      </c>
      <c r="G581" s="13">
        <v>44462.65267800926</v>
      </c>
      <c r="H581" s="14">
        <f>IFERROR(__xludf.DUMMYFUNCTION("SPLIT(G581, "", "")"),44462.0)</f>
        <v>44462</v>
      </c>
      <c r="I581" s="15">
        <f>IFERROR(__xludf.DUMMYFUNCTION("""COMPUTED_VALUE"""),0.6526736111111111)</f>
        <v>0.6526736111</v>
      </c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12">
        <v>3.52</v>
      </c>
      <c r="B582" s="12">
        <v>226.7</v>
      </c>
      <c r="C582" s="12">
        <v>503.9</v>
      </c>
      <c r="D582" s="12">
        <v>3.52</v>
      </c>
      <c r="E582" s="12">
        <v>0.63</v>
      </c>
      <c r="F582" s="12">
        <v>50.0</v>
      </c>
      <c r="G582" s="13">
        <v>44462.652783854166</v>
      </c>
      <c r="H582" s="14">
        <f>IFERROR(__xludf.DUMMYFUNCTION("SPLIT(G582, "", "")"),44462.0)</f>
        <v>44462</v>
      </c>
      <c r="I582" s="15">
        <f>IFERROR(__xludf.DUMMYFUNCTION("""COMPUTED_VALUE"""),0.6527893518518518)</f>
        <v>0.6527893519</v>
      </c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12">
        <v>3.51</v>
      </c>
      <c r="B583" s="12">
        <v>226.6</v>
      </c>
      <c r="C583" s="12">
        <v>503.8</v>
      </c>
      <c r="D583" s="12">
        <v>3.52</v>
      </c>
      <c r="E583" s="12">
        <v>0.63</v>
      </c>
      <c r="F583" s="12">
        <v>50.0</v>
      </c>
      <c r="G583" s="13">
        <v>44462.65288863426</v>
      </c>
      <c r="H583" s="14">
        <f>IFERROR(__xludf.DUMMYFUNCTION("SPLIT(G583, "", "")"),44462.0)</f>
        <v>44462</v>
      </c>
      <c r="I583" s="15">
        <f>IFERROR(__xludf.DUMMYFUNCTION("""COMPUTED_VALUE"""),0.6528935185185185)</f>
        <v>0.6528935185</v>
      </c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12">
        <v>3.51</v>
      </c>
      <c r="B584" s="12">
        <v>226.7</v>
      </c>
      <c r="C584" s="12">
        <v>503.9</v>
      </c>
      <c r="D584" s="12">
        <v>3.52</v>
      </c>
      <c r="E584" s="12">
        <v>0.63</v>
      </c>
      <c r="F584" s="12">
        <v>50.0</v>
      </c>
      <c r="G584" s="13">
        <v>44462.65299268518</v>
      </c>
      <c r="H584" s="14">
        <f>IFERROR(__xludf.DUMMYFUNCTION("SPLIT(G584, "", "")"),44462.0)</f>
        <v>44462</v>
      </c>
      <c r="I584" s="15">
        <f>IFERROR(__xludf.DUMMYFUNCTION("""COMPUTED_VALUE"""),0.6529976851851852)</f>
        <v>0.6529976852</v>
      </c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12">
        <v>3.52</v>
      </c>
      <c r="B585" s="12">
        <v>226.6</v>
      </c>
      <c r="C585" s="12">
        <v>504.0</v>
      </c>
      <c r="D585" s="12">
        <v>3.52</v>
      </c>
      <c r="E585" s="12">
        <v>0.63</v>
      </c>
      <c r="F585" s="12">
        <v>50.0</v>
      </c>
      <c r="G585" s="13">
        <v>44462.65309943287</v>
      </c>
      <c r="H585" s="14">
        <f>IFERROR(__xludf.DUMMYFUNCTION("SPLIT(G585, "", "")"),44462.0)</f>
        <v>44462</v>
      </c>
      <c r="I585" s="15">
        <f>IFERROR(__xludf.DUMMYFUNCTION("""COMPUTED_VALUE"""),0.6531018518518519)</f>
        <v>0.6531018519</v>
      </c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12">
        <v>3.51</v>
      </c>
      <c r="B586" s="12">
        <v>226.6</v>
      </c>
      <c r="C586" s="12">
        <v>504.1</v>
      </c>
      <c r="D586" s="12">
        <v>3.52</v>
      </c>
      <c r="E586" s="12">
        <v>0.63</v>
      </c>
      <c r="F586" s="12">
        <v>50.0</v>
      </c>
      <c r="G586" s="13">
        <v>44462.65320239583</v>
      </c>
      <c r="H586" s="14">
        <f>IFERROR(__xludf.DUMMYFUNCTION("SPLIT(G586, "", "")"),44462.0)</f>
        <v>44462</v>
      </c>
      <c r="I586" s="15">
        <f>IFERROR(__xludf.DUMMYFUNCTION("""COMPUTED_VALUE"""),0.6532060185185186)</f>
        <v>0.6532060185</v>
      </c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12">
        <v>3.52</v>
      </c>
      <c r="B587" s="12">
        <v>226.6</v>
      </c>
      <c r="C587" s="12">
        <v>504.1</v>
      </c>
      <c r="D587" s="12">
        <v>3.52</v>
      </c>
      <c r="E587" s="12">
        <v>0.63</v>
      </c>
      <c r="F587" s="12">
        <v>50.0</v>
      </c>
      <c r="G587" s="13">
        <v>44462.65330453704</v>
      </c>
      <c r="H587" s="14">
        <f>IFERROR(__xludf.DUMMYFUNCTION("SPLIT(G587, "", "")"),44462.0)</f>
        <v>44462</v>
      </c>
      <c r="I587" s="15">
        <f>IFERROR(__xludf.DUMMYFUNCTION("""COMPUTED_VALUE"""),0.6533101851851851)</f>
        <v>0.6533101852</v>
      </c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12">
        <v>3.51</v>
      </c>
      <c r="B588" s="12">
        <v>226.6</v>
      </c>
      <c r="C588" s="12">
        <v>504.1</v>
      </c>
      <c r="D588" s="12">
        <v>3.52</v>
      </c>
      <c r="E588" s="12">
        <v>0.63</v>
      </c>
      <c r="F588" s="12">
        <v>50.0</v>
      </c>
      <c r="G588" s="13">
        <v>44462.65340605324</v>
      </c>
      <c r="H588" s="14">
        <f>IFERROR(__xludf.DUMMYFUNCTION("SPLIT(G588, "", "")"),44462.0)</f>
        <v>44462</v>
      </c>
      <c r="I588" s="15">
        <f>IFERROR(__xludf.DUMMYFUNCTION("""COMPUTED_VALUE"""),0.6534027777777778)</f>
        <v>0.6534027778</v>
      </c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12">
        <v>3.51</v>
      </c>
      <c r="B589" s="12">
        <v>226.6</v>
      </c>
      <c r="C589" s="12">
        <v>504.2</v>
      </c>
      <c r="D589" s="12">
        <v>3.52</v>
      </c>
      <c r="E589" s="12">
        <v>0.63</v>
      </c>
      <c r="F589" s="12">
        <v>50.0</v>
      </c>
      <c r="G589" s="13">
        <v>44462.653503622685</v>
      </c>
      <c r="H589" s="14">
        <f>IFERROR(__xludf.DUMMYFUNCTION("SPLIT(G589, "", "")"),44462.0)</f>
        <v>44462</v>
      </c>
      <c r="I589" s="15">
        <f>IFERROR(__xludf.DUMMYFUNCTION("""COMPUTED_VALUE"""),0.6535069444444445)</f>
        <v>0.6535069444</v>
      </c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12">
        <v>3.51</v>
      </c>
      <c r="B590" s="12">
        <v>226.5</v>
      </c>
      <c r="C590" s="12">
        <v>504.3</v>
      </c>
      <c r="D590" s="12">
        <v>3.53</v>
      </c>
      <c r="E590" s="12">
        <v>0.63</v>
      </c>
      <c r="F590" s="12">
        <v>50.0</v>
      </c>
      <c r="G590" s="13">
        <v>44462.6536021875</v>
      </c>
      <c r="H590" s="14">
        <f>IFERROR(__xludf.DUMMYFUNCTION("SPLIT(G590, "", "")"),44462.0)</f>
        <v>44462</v>
      </c>
      <c r="I590" s="15">
        <f>IFERROR(__xludf.DUMMYFUNCTION("""COMPUTED_VALUE"""),0.653599537037037)</f>
        <v>0.653599537</v>
      </c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12">
        <v>3.5</v>
      </c>
      <c r="B591" s="12">
        <v>226.9</v>
      </c>
      <c r="C591" s="12">
        <v>504.3</v>
      </c>
      <c r="D591" s="12">
        <v>3.53</v>
      </c>
      <c r="E591" s="12">
        <v>0.64</v>
      </c>
      <c r="F591" s="12">
        <v>50.0</v>
      </c>
      <c r="G591" s="13">
        <v>44462.653701504634</v>
      </c>
      <c r="H591" s="14">
        <f>IFERROR(__xludf.DUMMYFUNCTION("SPLIT(G591, "", "")"),44462.0)</f>
        <v>44462</v>
      </c>
      <c r="I591" s="15">
        <f>IFERROR(__xludf.DUMMYFUNCTION("""COMPUTED_VALUE"""),0.6537037037037037)</f>
        <v>0.6537037037</v>
      </c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12">
        <v>3.5</v>
      </c>
      <c r="B592" s="12">
        <v>226.9</v>
      </c>
      <c r="C592" s="12">
        <v>504.3</v>
      </c>
      <c r="D592" s="12">
        <v>3.53</v>
      </c>
      <c r="E592" s="12">
        <v>0.63</v>
      </c>
      <c r="F592" s="12">
        <v>50.0</v>
      </c>
      <c r="G592" s="13">
        <v>44462.65379965278</v>
      </c>
      <c r="H592" s="14">
        <f>IFERROR(__xludf.DUMMYFUNCTION("SPLIT(G592, "", "")"),44462.0)</f>
        <v>44462</v>
      </c>
      <c r="I592" s="15">
        <f>IFERROR(__xludf.DUMMYFUNCTION("""COMPUTED_VALUE"""),0.6537962962962963)</f>
        <v>0.6537962963</v>
      </c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12">
        <v>3.5</v>
      </c>
      <c r="B593" s="12">
        <v>226.8</v>
      </c>
      <c r="C593" s="12">
        <v>504.4</v>
      </c>
      <c r="D593" s="12">
        <v>3.53</v>
      </c>
      <c r="E593" s="12">
        <v>0.64</v>
      </c>
      <c r="F593" s="12">
        <v>50.0</v>
      </c>
      <c r="G593" s="13">
        <v>44462.653908148146</v>
      </c>
      <c r="H593" s="14">
        <f>IFERROR(__xludf.DUMMYFUNCTION("SPLIT(G593, "", "")"),44462.0)</f>
        <v>44462</v>
      </c>
      <c r="I593" s="15">
        <f>IFERROR(__xludf.DUMMYFUNCTION("""COMPUTED_VALUE"""),0.653912037037037)</f>
        <v>0.653912037</v>
      </c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12">
        <v>3.49</v>
      </c>
      <c r="B594" s="12">
        <v>226.9</v>
      </c>
      <c r="C594" s="12">
        <v>504.4</v>
      </c>
      <c r="D594" s="12">
        <v>3.53</v>
      </c>
      <c r="E594" s="12">
        <v>0.64</v>
      </c>
      <c r="F594" s="12">
        <v>50.0</v>
      </c>
      <c r="G594" s="13">
        <v>44462.65400483797</v>
      </c>
      <c r="H594" s="14">
        <f>IFERROR(__xludf.DUMMYFUNCTION("SPLIT(G594, "", "")"),44462.0)</f>
        <v>44462</v>
      </c>
      <c r="I594" s="15">
        <f>IFERROR(__xludf.DUMMYFUNCTION("""COMPUTED_VALUE"""),0.6540046296296296)</f>
        <v>0.6540046296</v>
      </c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12">
        <v>3.49</v>
      </c>
      <c r="B595" s="12">
        <v>226.8</v>
      </c>
      <c r="C595" s="12">
        <v>504.5</v>
      </c>
      <c r="D595" s="12">
        <v>3.53</v>
      </c>
      <c r="E595" s="12">
        <v>0.64</v>
      </c>
      <c r="F595" s="12">
        <v>50.0</v>
      </c>
      <c r="G595" s="13">
        <v>44462.65410609954</v>
      </c>
      <c r="H595" s="14">
        <f>IFERROR(__xludf.DUMMYFUNCTION("SPLIT(G595, "", "")"),44462.0)</f>
        <v>44462</v>
      </c>
      <c r="I595" s="15">
        <f>IFERROR(__xludf.DUMMYFUNCTION("""COMPUTED_VALUE"""),0.6541087962962963)</f>
        <v>0.6541087963</v>
      </c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12">
        <v>3.49</v>
      </c>
      <c r="B596" s="12">
        <v>226.8</v>
      </c>
      <c r="C596" s="12">
        <v>504.4</v>
      </c>
      <c r="D596" s="12">
        <v>3.53</v>
      </c>
      <c r="E596" s="12">
        <v>0.64</v>
      </c>
      <c r="F596" s="12">
        <v>49.9</v>
      </c>
      <c r="G596" s="13">
        <v>44462.6542081713</v>
      </c>
      <c r="H596" s="14">
        <f>IFERROR(__xludf.DUMMYFUNCTION("SPLIT(G596, "", "")"),44462.0)</f>
        <v>44462</v>
      </c>
      <c r="I596" s="15">
        <f>IFERROR(__xludf.DUMMYFUNCTION("""COMPUTED_VALUE"""),0.6542129629629629)</f>
        <v>0.654212963</v>
      </c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12">
        <v>3.5</v>
      </c>
      <c r="B597" s="12">
        <v>226.8</v>
      </c>
      <c r="C597" s="12">
        <v>504.6</v>
      </c>
      <c r="D597" s="12">
        <v>3.53</v>
      </c>
      <c r="E597" s="12">
        <v>0.64</v>
      </c>
      <c r="F597" s="12">
        <v>49.9</v>
      </c>
      <c r="G597" s="13">
        <v>44462.65430491898</v>
      </c>
      <c r="H597" s="14">
        <f>IFERROR(__xludf.DUMMYFUNCTION("SPLIT(G597, "", "")"),44462.0)</f>
        <v>44462</v>
      </c>
      <c r="I597" s="15">
        <f>IFERROR(__xludf.DUMMYFUNCTION("""COMPUTED_VALUE"""),0.6543055555555556)</f>
        <v>0.6543055556</v>
      </c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12">
        <v>3.5</v>
      </c>
      <c r="B598" s="12">
        <v>226.9</v>
      </c>
      <c r="C598" s="12">
        <v>504.7</v>
      </c>
      <c r="D598" s="12">
        <v>3.54</v>
      </c>
      <c r="E598" s="12">
        <v>0.64</v>
      </c>
      <c r="F598" s="12">
        <v>50.0</v>
      </c>
      <c r="G598" s="13">
        <v>44462.6544027662</v>
      </c>
      <c r="H598" s="14">
        <f>IFERROR(__xludf.DUMMYFUNCTION("SPLIT(G598, "", "")"),44462.0)</f>
        <v>44462</v>
      </c>
      <c r="I598" s="15">
        <f>IFERROR(__xludf.DUMMYFUNCTION("""COMPUTED_VALUE"""),0.6543981481481481)</f>
        <v>0.6543981481</v>
      </c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12">
        <v>3.5</v>
      </c>
      <c r="B599" s="12">
        <v>226.9</v>
      </c>
      <c r="C599" s="12">
        <v>504.7</v>
      </c>
      <c r="D599" s="12">
        <v>3.54</v>
      </c>
      <c r="E599" s="12">
        <v>0.64</v>
      </c>
      <c r="F599" s="12">
        <v>49.9</v>
      </c>
      <c r="G599" s="13">
        <v>44462.65450903935</v>
      </c>
      <c r="H599" s="14">
        <f>IFERROR(__xludf.DUMMYFUNCTION("SPLIT(G599, "", "")"),44462.0)</f>
        <v>44462</v>
      </c>
      <c r="I599" s="15">
        <f>IFERROR(__xludf.DUMMYFUNCTION("""COMPUTED_VALUE"""),0.6545138888888888)</f>
        <v>0.6545138889</v>
      </c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12">
        <v>3.5</v>
      </c>
      <c r="B600" s="12">
        <v>226.7</v>
      </c>
      <c r="C600" s="12">
        <v>504.7</v>
      </c>
      <c r="D600" s="12">
        <v>3.54</v>
      </c>
      <c r="E600" s="12">
        <v>0.64</v>
      </c>
      <c r="F600" s="12">
        <v>49.9</v>
      </c>
      <c r="G600" s="13">
        <v>44462.65460929398</v>
      </c>
      <c r="H600" s="14">
        <f>IFERROR(__xludf.DUMMYFUNCTION("SPLIT(G600, "", "")"),44462.0)</f>
        <v>44462</v>
      </c>
      <c r="I600" s="15">
        <f>IFERROR(__xludf.DUMMYFUNCTION("""COMPUTED_VALUE"""),0.6546064814814815)</f>
        <v>0.6546064815</v>
      </c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12">
        <v>3.51</v>
      </c>
      <c r="B601" s="12">
        <v>226.6</v>
      </c>
      <c r="C601" s="12">
        <v>504.7</v>
      </c>
      <c r="D601" s="12">
        <v>3.54</v>
      </c>
      <c r="E601" s="12">
        <v>0.64</v>
      </c>
      <c r="F601" s="12">
        <v>50.0</v>
      </c>
      <c r="G601" s="13">
        <v>44462.65471185185</v>
      </c>
      <c r="H601" s="14">
        <f>IFERROR(__xludf.DUMMYFUNCTION("SPLIT(G601, "", "")"),44462.0)</f>
        <v>44462</v>
      </c>
      <c r="I601" s="15">
        <f>IFERROR(__xludf.DUMMYFUNCTION("""COMPUTED_VALUE"""),0.6547106481481482)</f>
        <v>0.6547106481</v>
      </c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12">
        <v>3.5</v>
      </c>
      <c r="B602" s="12">
        <v>226.6</v>
      </c>
      <c r="C602" s="12">
        <v>504.8</v>
      </c>
      <c r="D602" s="12">
        <v>3.54</v>
      </c>
      <c r="E602" s="12">
        <v>0.64</v>
      </c>
      <c r="F602" s="12">
        <v>49.9</v>
      </c>
      <c r="G602" s="13">
        <v>44462.6548181713</v>
      </c>
      <c r="H602" s="14">
        <f>IFERROR(__xludf.DUMMYFUNCTION("SPLIT(G602, "", "")"),44462.0)</f>
        <v>44462</v>
      </c>
      <c r="I602" s="15">
        <f>IFERROR(__xludf.DUMMYFUNCTION("""COMPUTED_VALUE"""),0.6548148148148148)</f>
        <v>0.6548148148</v>
      </c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12">
        <v>3.51</v>
      </c>
      <c r="B603" s="12">
        <v>226.7</v>
      </c>
      <c r="C603" s="12">
        <v>505.0</v>
      </c>
      <c r="D603" s="12">
        <v>3.54</v>
      </c>
      <c r="E603" s="12">
        <v>0.63</v>
      </c>
      <c r="F603" s="12">
        <v>50.0</v>
      </c>
      <c r="G603" s="13">
        <v>44462.65492002315</v>
      </c>
      <c r="H603" s="14">
        <f>IFERROR(__xludf.DUMMYFUNCTION("SPLIT(G603, "", "")"),44462.0)</f>
        <v>44462</v>
      </c>
      <c r="I603" s="15">
        <f>IFERROR(__xludf.DUMMYFUNCTION("""COMPUTED_VALUE"""),0.6549189814814815)</f>
        <v>0.6549189815</v>
      </c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12">
        <v>3.51</v>
      </c>
      <c r="B604" s="12">
        <v>226.9</v>
      </c>
      <c r="C604" s="12">
        <v>505.1</v>
      </c>
      <c r="D604" s="12">
        <v>3.54</v>
      </c>
      <c r="E604" s="12">
        <v>0.63</v>
      </c>
      <c r="F604" s="12">
        <v>50.0</v>
      </c>
      <c r="G604" s="13">
        <v>44462.655017627316</v>
      </c>
      <c r="H604" s="14">
        <f>IFERROR(__xludf.DUMMYFUNCTION("SPLIT(G604, "", "")"),44462.0)</f>
        <v>44462</v>
      </c>
      <c r="I604" s="15">
        <f>IFERROR(__xludf.DUMMYFUNCTION("""COMPUTED_VALUE"""),0.6550231481481481)</f>
        <v>0.6550231481</v>
      </c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12">
        <v>3.51</v>
      </c>
      <c r="B605" s="12">
        <v>226.9</v>
      </c>
      <c r="C605" s="12">
        <v>505.1</v>
      </c>
      <c r="D605" s="12">
        <v>3.54</v>
      </c>
      <c r="E605" s="12">
        <v>0.63</v>
      </c>
      <c r="F605" s="12">
        <v>50.0</v>
      </c>
      <c r="G605" s="13">
        <v>44462.65511446759</v>
      </c>
      <c r="H605" s="14">
        <f>IFERROR(__xludf.DUMMYFUNCTION("SPLIT(G605, "", "")"),44462.0)</f>
        <v>44462</v>
      </c>
      <c r="I605" s="15">
        <f>IFERROR(__xludf.DUMMYFUNCTION("""COMPUTED_VALUE"""),0.6551157407407407)</f>
        <v>0.6551157407</v>
      </c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12">
        <v>3.51</v>
      </c>
      <c r="B606" s="12">
        <v>226.8</v>
      </c>
      <c r="C606" s="12">
        <v>505.1</v>
      </c>
      <c r="D606" s="12">
        <v>3.55</v>
      </c>
      <c r="E606" s="12">
        <v>0.63</v>
      </c>
      <c r="F606" s="12">
        <v>50.0</v>
      </c>
      <c r="G606" s="13">
        <v>44462.655214074075</v>
      </c>
      <c r="H606" s="14">
        <f>IFERROR(__xludf.DUMMYFUNCTION("SPLIT(G606, "", "")"),44462.0)</f>
        <v>44462</v>
      </c>
      <c r="I606" s="15">
        <f>IFERROR(__xludf.DUMMYFUNCTION("""COMPUTED_VALUE"""),0.6552083333333333)</f>
        <v>0.6552083333</v>
      </c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12">
        <v>3.51</v>
      </c>
      <c r="B607" s="12">
        <v>226.7</v>
      </c>
      <c r="C607" s="12">
        <v>505.0</v>
      </c>
      <c r="D607" s="12">
        <v>3.55</v>
      </c>
      <c r="E607" s="12">
        <v>0.64</v>
      </c>
      <c r="F607" s="12">
        <v>49.9</v>
      </c>
      <c r="G607" s="13">
        <v>44462.65531650463</v>
      </c>
      <c r="H607" s="14">
        <f>IFERROR(__xludf.DUMMYFUNCTION("SPLIT(G607, "", "")"),44462.0)</f>
        <v>44462</v>
      </c>
      <c r="I607" s="15">
        <f>IFERROR(__xludf.DUMMYFUNCTION("""COMPUTED_VALUE"""),0.6553125)</f>
        <v>0.6553125</v>
      </c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12">
        <v>3.51</v>
      </c>
      <c r="B608" s="12">
        <v>226.8</v>
      </c>
      <c r="C608" s="12">
        <v>505.2</v>
      </c>
      <c r="D608" s="12">
        <v>3.55</v>
      </c>
      <c r="E608" s="12">
        <v>0.63</v>
      </c>
      <c r="F608" s="12">
        <v>49.9</v>
      </c>
      <c r="G608" s="13">
        <v>44462.65541327547</v>
      </c>
      <c r="H608" s="14">
        <f>IFERROR(__xludf.DUMMYFUNCTION("SPLIT(G608, "", "")"),44462.0)</f>
        <v>44462</v>
      </c>
      <c r="I608" s="15">
        <f>IFERROR(__xludf.DUMMYFUNCTION("""COMPUTED_VALUE"""),0.6554166666666666)</f>
        <v>0.6554166667</v>
      </c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12">
        <v>3.51</v>
      </c>
      <c r="B609" s="12">
        <v>226.8</v>
      </c>
      <c r="C609" s="12">
        <v>505.2</v>
      </c>
      <c r="D609" s="12">
        <v>3.55</v>
      </c>
      <c r="E609" s="12">
        <v>0.63</v>
      </c>
      <c r="F609" s="12">
        <v>49.9</v>
      </c>
      <c r="G609" s="13">
        <v>44462.65551467593</v>
      </c>
      <c r="H609" s="14">
        <f>IFERROR(__xludf.DUMMYFUNCTION("SPLIT(G609, "", "")"),44462.0)</f>
        <v>44462</v>
      </c>
      <c r="I609" s="15">
        <f>IFERROR(__xludf.DUMMYFUNCTION("""COMPUTED_VALUE"""),0.6555092592592593)</f>
        <v>0.6555092593</v>
      </c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12">
        <v>3.5</v>
      </c>
      <c r="B610" s="12">
        <v>227.1</v>
      </c>
      <c r="C610" s="12">
        <v>505.2</v>
      </c>
      <c r="D610" s="12">
        <v>3.55</v>
      </c>
      <c r="E610" s="12">
        <v>0.64</v>
      </c>
      <c r="F610" s="12">
        <v>50.0</v>
      </c>
      <c r="G610" s="13">
        <v>44462.655619212965</v>
      </c>
      <c r="H610" s="14">
        <f>IFERROR(__xludf.DUMMYFUNCTION("SPLIT(G610, "", "")"),44462.0)</f>
        <v>44462</v>
      </c>
      <c r="I610" s="15">
        <f>IFERROR(__xludf.DUMMYFUNCTION("""COMPUTED_VALUE"""),0.655625)</f>
        <v>0.655625</v>
      </c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12">
        <v>3.5</v>
      </c>
      <c r="B611" s="12">
        <v>227.2</v>
      </c>
      <c r="C611" s="12">
        <v>505.3</v>
      </c>
      <c r="D611" s="12">
        <v>3.55</v>
      </c>
      <c r="E611" s="12">
        <v>0.64</v>
      </c>
      <c r="F611" s="12">
        <v>49.9</v>
      </c>
      <c r="G611" s="13">
        <v>44462.65572273148</v>
      </c>
      <c r="H611" s="14">
        <f>IFERROR(__xludf.DUMMYFUNCTION("SPLIT(G611, "", "")"),44462.0)</f>
        <v>44462</v>
      </c>
      <c r="I611" s="15">
        <f>IFERROR(__xludf.DUMMYFUNCTION("""COMPUTED_VALUE"""),0.6557175925925925)</f>
        <v>0.6557175926</v>
      </c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12">
        <v>3.5</v>
      </c>
      <c r="B612" s="12">
        <v>227.3</v>
      </c>
      <c r="C612" s="12">
        <v>505.4</v>
      </c>
      <c r="D612" s="12">
        <v>3.55</v>
      </c>
      <c r="E612" s="12">
        <v>0.64</v>
      </c>
      <c r="F612" s="12">
        <v>49.9</v>
      </c>
      <c r="G612" s="13">
        <v>44462.65581964121</v>
      </c>
      <c r="H612" s="14">
        <f>IFERROR(__xludf.DUMMYFUNCTION("SPLIT(G612, "", "")"),44462.0)</f>
        <v>44462</v>
      </c>
      <c r="I612" s="15">
        <f>IFERROR(__xludf.DUMMYFUNCTION("""COMPUTED_VALUE"""),0.6558217592592592)</f>
        <v>0.6558217593</v>
      </c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12">
        <v>3.5</v>
      </c>
      <c r="B613" s="12">
        <v>227.3</v>
      </c>
      <c r="C613" s="12">
        <v>505.4</v>
      </c>
      <c r="D613" s="12">
        <v>3.55</v>
      </c>
      <c r="E613" s="12">
        <v>0.64</v>
      </c>
      <c r="F613" s="12">
        <v>49.9</v>
      </c>
      <c r="G613" s="13">
        <v>44462.655916689815</v>
      </c>
      <c r="H613" s="14">
        <f>IFERROR(__xludf.DUMMYFUNCTION("SPLIT(G613, "", "")"),44462.0)</f>
        <v>44462</v>
      </c>
      <c r="I613" s="15">
        <f>IFERROR(__xludf.DUMMYFUNCTION("""COMPUTED_VALUE"""),0.6559143518518519)</f>
        <v>0.6559143519</v>
      </c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12">
        <v>3.49</v>
      </c>
      <c r="B614" s="12">
        <v>227.4</v>
      </c>
      <c r="C614" s="12">
        <v>505.4</v>
      </c>
      <c r="D614" s="12">
        <v>3.56</v>
      </c>
      <c r="E614" s="12">
        <v>0.64</v>
      </c>
      <c r="F614" s="12">
        <v>49.9</v>
      </c>
      <c r="G614" s="13">
        <v>44462.65601464121</v>
      </c>
      <c r="H614" s="14">
        <f>IFERROR(__xludf.DUMMYFUNCTION("SPLIT(G614, "", "")"),44462.0)</f>
        <v>44462</v>
      </c>
      <c r="I614" s="15">
        <f>IFERROR(__xludf.DUMMYFUNCTION("""COMPUTED_VALUE"""),0.6560185185185186)</f>
        <v>0.6560185185</v>
      </c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12">
        <v>3.5</v>
      </c>
      <c r="B615" s="12">
        <v>227.5</v>
      </c>
      <c r="C615" s="12">
        <v>505.6</v>
      </c>
      <c r="D615" s="12">
        <v>3.56</v>
      </c>
      <c r="E615" s="12">
        <v>0.64</v>
      </c>
      <c r="F615" s="12">
        <v>50.0</v>
      </c>
      <c r="G615" s="13">
        <v>44462.6561165162</v>
      </c>
      <c r="H615" s="14">
        <f>IFERROR(__xludf.DUMMYFUNCTION("SPLIT(G615, "", "")"),44462.0)</f>
        <v>44462</v>
      </c>
      <c r="I615" s="15">
        <f>IFERROR(__xludf.DUMMYFUNCTION("""COMPUTED_VALUE"""),0.6561111111111111)</f>
        <v>0.6561111111</v>
      </c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12">
        <v>3.49</v>
      </c>
      <c r="B616" s="12">
        <v>227.2</v>
      </c>
      <c r="C616" s="12">
        <v>505.7</v>
      </c>
      <c r="D616" s="12">
        <v>3.56</v>
      </c>
      <c r="E616" s="12">
        <v>0.64</v>
      </c>
      <c r="F616" s="12">
        <v>50.0</v>
      </c>
      <c r="G616" s="13">
        <v>44462.65621962963</v>
      </c>
      <c r="H616" s="14">
        <f>IFERROR(__xludf.DUMMYFUNCTION("SPLIT(G616, "", "")"),44462.0)</f>
        <v>44462</v>
      </c>
      <c r="I616" s="15">
        <f>IFERROR(__xludf.DUMMYFUNCTION("""COMPUTED_VALUE"""),0.6562152777777778)</f>
        <v>0.6562152778</v>
      </c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12">
        <v>3.5</v>
      </c>
      <c r="B617" s="12">
        <v>227.4</v>
      </c>
      <c r="C617" s="12">
        <v>505.7</v>
      </c>
      <c r="D617" s="12">
        <v>3.56</v>
      </c>
      <c r="E617" s="12">
        <v>0.64</v>
      </c>
      <c r="F617" s="12">
        <v>50.0</v>
      </c>
      <c r="G617" s="13">
        <v>44462.65631679398</v>
      </c>
      <c r="H617" s="14">
        <f>IFERROR(__xludf.DUMMYFUNCTION("SPLIT(G617, "", "")"),44462.0)</f>
        <v>44462</v>
      </c>
      <c r="I617" s="15">
        <f>IFERROR(__xludf.DUMMYFUNCTION("""COMPUTED_VALUE"""),0.6563194444444445)</f>
        <v>0.6563194444</v>
      </c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12">
        <v>3.49</v>
      </c>
      <c r="B618" s="12">
        <v>227.4</v>
      </c>
      <c r="C618" s="12">
        <v>505.7</v>
      </c>
      <c r="D618" s="12">
        <v>3.56</v>
      </c>
      <c r="E618" s="12">
        <v>0.64</v>
      </c>
      <c r="F618" s="12">
        <v>50.0</v>
      </c>
      <c r="G618" s="13">
        <v>44462.65641491898</v>
      </c>
      <c r="H618" s="14">
        <f>IFERROR(__xludf.DUMMYFUNCTION("SPLIT(G618, "", "")"),44462.0)</f>
        <v>44462</v>
      </c>
      <c r="I618" s="15">
        <f>IFERROR(__xludf.DUMMYFUNCTION("""COMPUTED_VALUE"""),0.656412037037037)</f>
        <v>0.656412037</v>
      </c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12">
        <v>3.5</v>
      </c>
      <c r="B619" s="12">
        <v>227.3</v>
      </c>
      <c r="C619" s="12">
        <v>505.8</v>
      </c>
      <c r="D619" s="12">
        <v>3.56</v>
      </c>
      <c r="E619" s="12">
        <v>0.64</v>
      </c>
      <c r="F619" s="12">
        <v>50.0</v>
      </c>
      <c r="G619" s="13">
        <v>44462.65651237269</v>
      </c>
      <c r="H619" s="14">
        <f>IFERROR(__xludf.DUMMYFUNCTION("SPLIT(G619, "", "")"),44462.0)</f>
        <v>44462</v>
      </c>
      <c r="I619" s="15">
        <f>IFERROR(__xludf.DUMMYFUNCTION("""COMPUTED_VALUE"""),0.6565162037037037)</f>
        <v>0.6565162037</v>
      </c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12">
        <v>3.49</v>
      </c>
      <c r="B620" s="12">
        <v>227.5</v>
      </c>
      <c r="C620" s="12">
        <v>505.8</v>
      </c>
      <c r="D620" s="12">
        <v>3.56</v>
      </c>
      <c r="E620" s="12">
        <v>0.64</v>
      </c>
      <c r="F620" s="12">
        <v>50.0</v>
      </c>
      <c r="G620" s="13">
        <v>44462.65661023148</v>
      </c>
      <c r="H620" s="14">
        <f>IFERROR(__xludf.DUMMYFUNCTION("SPLIT(G620, "", "")"),44462.0)</f>
        <v>44462</v>
      </c>
      <c r="I620" s="15">
        <f>IFERROR(__xludf.DUMMYFUNCTION("""COMPUTED_VALUE"""),0.6566087962962963)</f>
        <v>0.6566087963</v>
      </c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12">
        <v>3.49</v>
      </c>
      <c r="B621" s="12">
        <v>227.5</v>
      </c>
      <c r="C621" s="12">
        <v>505.9</v>
      </c>
      <c r="D621" s="12">
        <v>3.56</v>
      </c>
      <c r="E621" s="12">
        <v>0.64</v>
      </c>
      <c r="F621" s="12">
        <v>50.0</v>
      </c>
      <c r="G621" s="13">
        <v>44462.65670724537</v>
      </c>
      <c r="H621" s="14">
        <f>IFERROR(__xludf.DUMMYFUNCTION("SPLIT(G621, "", "")"),44462.0)</f>
        <v>44462</v>
      </c>
      <c r="I621" s="15">
        <f>IFERROR(__xludf.DUMMYFUNCTION("""COMPUTED_VALUE"""),0.656712962962963)</f>
        <v>0.656712963</v>
      </c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12">
        <v>3.49</v>
      </c>
      <c r="B622" s="12">
        <v>227.5</v>
      </c>
      <c r="C622" s="12">
        <v>505.9</v>
      </c>
      <c r="D622" s="12">
        <v>3.56</v>
      </c>
      <c r="E622" s="12">
        <v>0.64</v>
      </c>
      <c r="F622" s="12">
        <v>50.0</v>
      </c>
      <c r="G622" s="13">
        <v>44462.65680645833</v>
      </c>
      <c r="H622" s="14">
        <f>IFERROR(__xludf.DUMMYFUNCTION("SPLIT(G622, "", "")"),44462.0)</f>
        <v>44462</v>
      </c>
      <c r="I622" s="15">
        <f>IFERROR(__xludf.DUMMYFUNCTION("""COMPUTED_VALUE"""),0.6568055555555555)</f>
        <v>0.6568055556</v>
      </c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12">
        <v>3.5</v>
      </c>
      <c r="B623" s="12">
        <v>227.4</v>
      </c>
      <c r="C623" s="12">
        <v>506.0</v>
      </c>
      <c r="D623" s="12">
        <v>3.57</v>
      </c>
      <c r="E623" s="12">
        <v>0.64</v>
      </c>
      <c r="F623" s="12">
        <v>50.0</v>
      </c>
      <c r="G623" s="13">
        <v>44462.656906979166</v>
      </c>
      <c r="H623" s="14">
        <f>IFERROR(__xludf.DUMMYFUNCTION("SPLIT(G623, "", "")"),44462.0)</f>
        <v>44462</v>
      </c>
      <c r="I623" s="15">
        <f>IFERROR(__xludf.DUMMYFUNCTION("""COMPUTED_VALUE"""),0.6569097222222222)</f>
        <v>0.6569097222</v>
      </c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12">
        <v>3.52</v>
      </c>
      <c r="B624" s="12">
        <v>227.1</v>
      </c>
      <c r="C624" s="12">
        <v>506.1</v>
      </c>
      <c r="D624" s="12">
        <v>3.57</v>
      </c>
      <c r="E624" s="12">
        <v>0.63</v>
      </c>
      <c r="F624" s="12">
        <v>50.0</v>
      </c>
      <c r="G624" s="13">
        <v>44462.65700993055</v>
      </c>
      <c r="H624" s="14">
        <f>IFERROR(__xludf.DUMMYFUNCTION("SPLIT(G624, "", "")"),44462.0)</f>
        <v>44462</v>
      </c>
      <c r="I624" s="15">
        <f>IFERROR(__xludf.DUMMYFUNCTION("""COMPUTED_VALUE"""),0.6570138888888889)</f>
        <v>0.6570138889</v>
      </c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12">
        <v>3.52</v>
      </c>
      <c r="B625" s="12">
        <v>226.9</v>
      </c>
      <c r="C625" s="12">
        <v>506.2</v>
      </c>
      <c r="D625" s="12">
        <v>3.57</v>
      </c>
      <c r="E625" s="12">
        <v>0.63</v>
      </c>
      <c r="F625" s="12">
        <v>50.0</v>
      </c>
      <c r="G625" s="13">
        <v>44462.6571090162</v>
      </c>
      <c r="H625" s="14">
        <f>IFERROR(__xludf.DUMMYFUNCTION("SPLIT(G625, "", "")"),44462.0)</f>
        <v>44462</v>
      </c>
      <c r="I625" s="15">
        <f>IFERROR(__xludf.DUMMYFUNCTION("""COMPUTED_VALUE"""),0.6571064814814814)</f>
        <v>0.6571064815</v>
      </c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12">
        <v>3.53</v>
      </c>
      <c r="B626" s="12">
        <v>226.8</v>
      </c>
      <c r="C626" s="12">
        <v>506.3</v>
      </c>
      <c r="D626" s="12">
        <v>3.57</v>
      </c>
      <c r="E626" s="12">
        <v>0.63</v>
      </c>
      <c r="F626" s="12">
        <v>50.0</v>
      </c>
      <c r="G626" s="13">
        <v>44462.657205324074</v>
      </c>
      <c r="H626" s="14">
        <f>IFERROR(__xludf.DUMMYFUNCTION("SPLIT(G626, "", "")"),44462.0)</f>
        <v>44462</v>
      </c>
      <c r="I626" s="15">
        <f>IFERROR(__xludf.DUMMYFUNCTION("""COMPUTED_VALUE"""),0.6572106481481481)</f>
        <v>0.6572106481</v>
      </c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12">
        <v>3.52</v>
      </c>
      <c r="B627" s="12">
        <v>226.8</v>
      </c>
      <c r="C627" s="12">
        <v>506.3</v>
      </c>
      <c r="D627" s="12">
        <v>3.57</v>
      </c>
      <c r="E627" s="12">
        <v>0.63</v>
      </c>
      <c r="F627" s="12">
        <v>50.0</v>
      </c>
      <c r="G627" s="13">
        <v>44462.657302997686</v>
      </c>
      <c r="H627" s="14">
        <f>IFERROR(__xludf.DUMMYFUNCTION("SPLIT(G627, "", "")"),44462.0)</f>
        <v>44462</v>
      </c>
      <c r="I627" s="15">
        <f>IFERROR(__xludf.DUMMYFUNCTION("""COMPUTED_VALUE"""),0.6573032407407408)</f>
        <v>0.6573032407</v>
      </c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12">
        <v>3.52</v>
      </c>
      <c r="B628" s="12">
        <v>226.8</v>
      </c>
      <c r="C628" s="12">
        <v>506.3</v>
      </c>
      <c r="D628" s="12">
        <v>3.57</v>
      </c>
      <c r="E628" s="12">
        <v>0.64</v>
      </c>
      <c r="F628" s="12">
        <v>49.9</v>
      </c>
      <c r="G628" s="13">
        <v>44462.65740034722</v>
      </c>
      <c r="H628" s="14">
        <f>IFERROR(__xludf.DUMMYFUNCTION("SPLIT(G628, "", "")"),44462.0)</f>
        <v>44462</v>
      </c>
      <c r="I628" s="15">
        <f>IFERROR(__xludf.DUMMYFUNCTION("""COMPUTED_VALUE"""),0.6573958333333333)</f>
        <v>0.6573958333</v>
      </c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12">
        <v>3.52</v>
      </c>
      <c r="B629" s="12">
        <v>226.5</v>
      </c>
      <c r="C629" s="12">
        <v>506.3</v>
      </c>
      <c r="D629" s="12">
        <v>3.57</v>
      </c>
      <c r="E629" s="12">
        <v>0.64</v>
      </c>
      <c r="F629" s="12">
        <v>49.9</v>
      </c>
      <c r="G629" s="13">
        <v>44462.65749841435</v>
      </c>
      <c r="H629" s="14">
        <f>IFERROR(__xludf.DUMMYFUNCTION("SPLIT(G629, "", "")"),44462.0)</f>
        <v>44462</v>
      </c>
      <c r="I629" s="15">
        <f>IFERROR(__xludf.DUMMYFUNCTION("""COMPUTED_VALUE"""),0.6575)</f>
        <v>0.6575</v>
      </c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12">
        <v>3.52</v>
      </c>
      <c r="B630" s="12">
        <v>226.6</v>
      </c>
      <c r="C630" s="12">
        <v>506.3</v>
      </c>
      <c r="D630" s="12">
        <v>3.57</v>
      </c>
      <c r="E630" s="12">
        <v>0.64</v>
      </c>
      <c r="F630" s="12">
        <v>49.9</v>
      </c>
      <c r="G630" s="13">
        <v>44462.65759689815</v>
      </c>
      <c r="H630" s="14">
        <f>IFERROR(__xludf.DUMMYFUNCTION("SPLIT(G630, "", "")"),44462.0)</f>
        <v>44462</v>
      </c>
      <c r="I630" s="15">
        <f>IFERROR(__xludf.DUMMYFUNCTION("""COMPUTED_VALUE"""),0.6575925925925926)</f>
        <v>0.6575925926</v>
      </c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12">
        <v>3.52</v>
      </c>
      <c r="B631" s="12">
        <v>226.6</v>
      </c>
      <c r="C631" s="12">
        <v>506.4</v>
      </c>
      <c r="D631" s="12">
        <v>3.58</v>
      </c>
      <c r="E631" s="12">
        <v>0.63</v>
      </c>
      <c r="F631" s="12">
        <v>49.9</v>
      </c>
      <c r="G631" s="13">
        <v>44462.6576975</v>
      </c>
      <c r="H631" s="14">
        <f>IFERROR(__xludf.DUMMYFUNCTION("SPLIT(G631, "", "")"),44462.0)</f>
        <v>44462</v>
      </c>
      <c r="I631" s="15">
        <f>IFERROR(__xludf.DUMMYFUNCTION("""COMPUTED_VALUE"""),0.6576967592592593)</f>
        <v>0.6576967593</v>
      </c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12">
        <v>3.53</v>
      </c>
      <c r="B632" s="12">
        <v>226.3</v>
      </c>
      <c r="C632" s="12">
        <v>506.5</v>
      </c>
      <c r="D632" s="12">
        <v>3.58</v>
      </c>
      <c r="E632" s="12">
        <v>0.63</v>
      </c>
      <c r="F632" s="12">
        <v>50.0</v>
      </c>
      <c r="G632" s="13">
        <v>44462.65779563657</v>
      </c>
      <c r="H632" s="14">
        <f>IFERROR(__xludf.DUMMYFUNCTION("SPLIT(G632, "", "")"),44462.0)</f>
        <v>44462</v>
      </c>
      <c r="I632" s="15">
        <f>IFERROR(__xludf.DUMMYFUNCTION("""COMPUTED_VALUE"""),0.6578009259259259)</f>
        <v>0.6578009259</v>
      </c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12">
        <v>3.53</v>
      </c>
      <c r="B633" s="12">
        <v>226.6</v>
      </c>
      <c r="C633" s="12">
        <v>506.5</v>
      </c>
      <c r="D633" s="12">
        <v>3.58</v>
      </c>
      <c r="E633" s="12">
        <v>0.63</v>
      </c>
      <c r="F633" s="12">
        <v>49.9</v>
      </c>
      <c r="G633" s="13">
        <v>44462.65789633102</v>
      </c>
      <c r="H633" s="14">
        <f>IFERROR(__xludf.DUMMYFUNCTION("SPLIT(G633, "", "")"),44462.0)</f>
        <v>44462</v>
      </c>
      <c r="I633" s="15">
        <f>IFERROR(__xludf.DUMMYFUNCTION("""COMPUTED_VALUE"""),0.6578935185185185)</f>
        <v>0.6578935185</v>
      </c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12">
        <v>3.53</v>
      </c>
      <c r="B634" s="12">
        <v>226.5</v>
      </c>
      <c r="C634" s="12">
        <v>506.6</v>
      </c>
      <c r="D634" s="12">
        <v>3.58</v>
      </c>
      <c r="E634" s="12">
        <v>0.63</v>
      </c>
      <c r="F634" s="12">
        <v>50.0</v>
      </c>
      <c r="G634" s="13">
        <v>44462.65800358796</v>
      </c>
      <c r="H634" s="14">
        <f>IFERROR(__xludf.DUMMYFUNCTION("SPLIT(G634, "", "")"),44462.0)</f>
        <v>44462</v>
      </c>
      <c r="I634" s="15">
        <f>IFERROR(__xludf.DUMMYFUNCTION("""COMPUTED_VALUE"""),0.6580092592592592)</f>
        <v>0.6580092593</v>
      </c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12">
        <v>3.52</v>
      </c>
      <c r="B635" s="12">
        <v>226.7</v>
      </c>
      <c r="C635" s="12">
        <v>506.6</v>
      </c>
      <c r="D635" s="12">
        <v>3.58</v>
      </c>
      <c r="E635" s="12">
        <v>0.63</v>
      </c>
      <c r="F635" s="12">
        <v>49.9</v>
      </c>
      <c r="G635" s="13">
        <v>44462.65810690972</v>
      </c>
      <c r="H635" s="14">
        <f>IFERROR(__xludf.DUMMYFUNCTION("SPLIT(G635, "", "")"),44462.0)</f>
        <v>44462</v>
      </c>
      <c r="I635" s="15">
        <f>IFERROR(__xludf.DUMMYFUNCTION("""COMPUTED_VALUE"""),0.6581018518518519)</f>
        <v>0.6581018519</v>
      </c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12">
        <v>3.52</v>
      </c>
      <c r="B636" s="12">
        <v>226.8</v>
      </c>
      <c r="C636" s="12">
        <v>506.7</v>
      </c>
      <c r="D636" s="12">
        <v>3.58</v>
      </c>
      <c r="E636" s="12">
        <v>0.63</v>
      </c>
      <c r="F636" s="12">
        <v>50.0</v>
      </c>
      <c r="G636" s="13">
        <v>44462.65820417824</v>
      </c>
      <c r="H636" s="14">
        <f>IFERROR(__xludf.DUMMYFUNCTION("SPLIT(G636, "", "")"),44462.0)</f>
        <v>44462</v>
      </c>
      <c r="I636" s="15">
        <f>IFERROR(__xludf.DUMMYFUNCTION("""COMPUTED_VALUE"""),0.6582060185185186)</f>
        <v>0.6582060185</v>
      </c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12">
        <v>3.52</v>
      </c>
      <c r="B637" s="12">
        <v>227.0</v>
      </c>
      <c r="C637" s="12">
        <v>506.9</v>
      </c>
      <c r="D637" s="12">
        <v>3.58</v>
      </c>
      <c r="E637" s="12">
        <v>0.63</v>
      </c>
      <c r="F637" s="12">
        <v>50.0</v>
      </c>
      <c r="G637" s="13">
        <v>44462.65830009259</v>
      </c>
      <c r="H637" s="14">
        <f>IFERROR(__xludf.DUMMYFUNCTION("SPLIT(G637, "", "")"),44462.0)</f>
        <v>44462</v>
      </c>
      <c r="I637" s="15">
        <f>IFERROR(__xludf.DUMMYFUNCTION("""COMPUTED_VALUE"""),0.6582986111111111)</f>
        <v>0.6582986111</v>
      </c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12">
        <v>3.51</v>
      </c>
      <c r="B638" s="12">
        <v>227.3</v>
      </c>
      <c r="C638" s="12">
        <v>507.0</v>
      </c>
      <c r="D638" s="12">
        <v>3.58</v>
      </c>
      <c r="E638" s="12">
        <v>0.63</v>
      </c>
      <c r="F638" s="12">
        <v>50.0</v>
      </c>
      <c r="G638" s="13">
        <v>44462.65840166667</v>
      </c>
      <c r="H638" s="14">
        <f>IFERROR(__xludf.DUMMYFUNCTION("SPLIT(G638, "", "")"),44462.0)</f>
        <v>44462</v>
      </c>
      <c r="I638" s="15">
        <f>IFERROR(__xludf.DUMMYFUNCTION("""COMPUTED_VALUE"""),0.6584027777777778)</f>
        <v>0.6584027778</v>
      </c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12">
        <v>3.52</v>
      </c>
      <c r="B639" s="12">
        <v>227.3</v>
      </c>
      <c r="C639" s="12">
        <v>507.1</v>
      </c>
      <c r="D639" s="12">
        <v>3.59</v>
      </c>
      <c r="E639" s="12">
        <v>0.63</v>
      </c>
      <c r="F639" s="12">
        <v>50.0</v>
      </c>
      <c r="G639" s="13">
        <v>44462.65850518519</v>
      </c>
      <c r="H639" s="14">
        <f>IFERROR(__xludf.DUMMYFUNCTION("SPLIT(G639, "", "")"),44462.0)</f>
        <v>44462</v>
      </c>
      <c r="I639" s="15">
        <f>IFERROR(__xludf.DUMMYFUNCTION("""COMPUTED_VALUE"""),0.6585069444444445)</f>
        <v>0.6585069444</v>
      </c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12">
        <v>3.52</v>
      </c>
      <c r="B640" s="12">
        <v>227.2</v>
      </c>
      <c r="C640" s="12">
        <v>507.1</v>
      </c>
      <c r="D640" s="12">
        <v>3.59</v>
      </c>
      <c r="E640" s="12">
        <v>0.63</v>
      </c>
      <c r="F640" s="12">
        <v>50.0</v>
      </c>
      <c r="G640" s="13">
        <v>44462.65860173611</v>
      </c>
      <c r="H640" s="14">
        <f>IFERROR(__xludf.DUMMYFUNCTION("SPLIT(G640, "", "")"),44462.0)</f>
        <v>44462</v>
      </c>
      <c r="I640" s="15">
        <f>IFERROR(__xludf.DUMMYFUNCTION("""COMPUTED_VALUE"""),0.658599537037037)</f>
        <v>0.658599537</v>
      </c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12">
        <v>3.52</v>
      </c>
      <c r="B641" s="12">
        <v>227.2</v>
      </c>
      <c r="C641" s="12">
        <v>507.1</v>
      </c>
      <c r="D641" s="12">
        <v>3.59</v>
      </c>
      <c r="E641" s="12">
        <v>0.63</v>
      </c>
      <c r="F641" s="12">
        <v>50.0</v>
      </c>
      <c r="G641" s="13">
        <v>44462.65869791667</v>
      </c>
      <c r="H641" s="14">
        <f>IFERROR(__xludf.DUMMYFUNCTION("SPLIT(G641, "", "")"),44462.0)</f>
        <v>44462</v>
      </c>
      <c r="I641" s="15">
        <f>IFERROR(__xludf.DUMMYFUNCTION("""COMPUTED_VALUE"""),0.6587037037037037)</f>
        <v>0.6587037037</v>
      </c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12">
        <v>3.52</v>
      </c>
      <c r="B642" s="12">
        <v>227.0</v>
      </c>
      <c r="C642" s="12">
        <v>507.1</v>
      </c>
      <c r="D642" s="12">
        <v>3.59</v>
      </c>
      <c r="E642" s="12">
        <v>0.63</v>
      </c>
      <c r="F642" s="12">
        <v>50.0</v>
      </c>
      <c r="G642" s="13">
        <v>44462.65879876158</v>
      </c>
      <c r="H642" s="14">
        <f>IFERROR(__xludf.DUMMYFUNCTION("SPLIT(G642, "", "")"),44462.0)</f>
        <v>44462</v>
      </c>
      <c r="I642" s="15">
        <f>IFERROR(__xludf.DUMMYFUNCTION("""COMPUTED_VALUE"""),0.6587962962962963)</f>
        <v>0.6587962963</v>
      </c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12">
        <v>3.52</v>
      </c>
      <c r="B643" s="12">
        <v>227.1</v>
      </c>
      <c r="C643" s="12">
        <v>507.1</v>
      </c>
      <c r="D643" s="12">
        <v>3.59</v>
      </c>
      <c r="E643" s="12">
        <v>0.64</v>
      </c>
      <c r="F643" s="12">
        <v>50.0</v>
      </c>
      <c r="G643" s="13">
        <v>44462.658904861106</v>
      </c>
      <c r="H643" s="14">
        <f>IFERROR(__xludf.DUMMYFUNCTION("SPLIT(G643, "", "")"),44462.0)</f>
        <v>44462</v>
      </c>
      <c r="I643" s="15">
        <f>IFERROR(__xludf.DUMMYFUNCTION("""COMPUTED_VALUE"""),0.658900462962963)</f>
        <v>0.658900463</v>
      </c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12">
        <v>3.52</v>
      </c>
      <c r="B644" s="12">
        <v>227.2</v>
      </c>
      <c r="C644" s="12">
        <v>507.3</v>
      </c>
      <c r="D644" s="12">
        <v>3.59</v>
      </c>
      <c r="E644" s="12">
        <v>0.63</v>
      </c>
      <c r="F644" s="12">
        <v>50.0</v>
      </c>
      <c r="G644" s="13">
        <v>44462.659005995374</v>
      </c>
      <c r="H644" s="14">
        <f>IFERROR(__xludf.DUMMYFUNCTION("SPLIT(G644, "", "")"),44462.0)</f>
        <v>44462</v>
      </c>
      <c r="I644" s="15">
        <f>IFERROR(__xludf.DUMMYFUNCTION("""COMPUTED_VALUE"""),0.6590046296296296)</f>
        <v>0.6590046296</v>
      </c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12">
        <v>3.52</v>
      </c>
      <c r="B645" s="12">
        <v>227.0</v>
      </c>
      <c r="C645" s="12">
        <v>507.4</v>
      </c>
      <c r="D645" s="12">
        <v>3.59</v>
      </c>
      <c r="E645" s="12">
        <v>0.63</v>
      </c>
      <c r="F645" s="12">
        <v>50.0</v>
      </c>
      <c r="G645" s="13">
        <v>44462.65911013889</v>
      </c>
      <c r="H645" s="14">
        <f>IFERROR(__xludf.DUMMYFUNCTION("SPLIT(G645, "", "")"),44462.0)</f>
        <v>44462</v>
      </c>
      <c r="I645" s="15">
        <f>IFERROR(__xludf.DUMMYFUNCTION("""COMPUTED_VALUE"""),0.6591087962962963)</f>
        <v>0.6591087963</v>
      </c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12">
        <v>3.52</v>
      </c>
      <c r="B646" s="12">
        <v>227.1</v>
      </c>
      <c r="C646" s="12">
        <v>507.4</v>
      </c>
      <c r="D646" s="12">
        <v>3.59</v>
      </c>
      <c r="E646" s="12">
        <v>0.63</v>
      </c>
      <c r="F646" s="12">
        <v>50.0</v>
      </c>
      <c r="G646" s="13">
        <v>44462.65921326389</v>
      </c>
      <c r="H646" s="14">
        <f>IFERROR(__xludf.DUMMYFUNCTION("SPLIT(G646, "", "")"),44462.0)</f>
        <v>44462</v>
      </c>
      <c r="I646" s="15">
        <f>IFERROR(__xludf.DUMMYFUNCTION("""COMPUTED_VALUE"""),0.659212962962963)</f>
        <v>0.659212963</v>
      </c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12">
        <v>3.52</v>
      </c>
      <c r="B647" s="12">
        <v>227.1</v>
      </c>
      <c r="C647" s="12">
        <v>507.5</v>
      </c>
      <c r="D647" s="12">
        <v>3.6</v>
      </c>
      <c r="E647" s="12">
        <v>0.63</v>
      </c>
      <c r="F647" s="12">
        <v>50.0</v>
      </c>
      <c r="G647" s="13">
        <v>44462.65934600694</v>
      </c>
      <c r="H647" s="14">
        <f>IFERROR(__xludf.DUMMYFUNCTION("SPLIT(G647, "", "")"),44462.0)</f>
        <v>44462</v>
      </c>
      <c r="I647" s="15">
        <f>IFERROR(__xludf.DUMMYFUNCTION("""COMPUTED_VALUE"""),0.6593402777777778)</f>
        <v>0.6593402778</v>
      </c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12">
        <v>3.53</v>
      </c>
      <c r="B648" s="12">
        <v>227.0</v>
      </c>
      <c r="C648" s="12">
        <v>507.6</v>
      </c>
      <c r="D648" s="12">
        <v>3.6</v>
      </c>
      <c r="E648" s="12">
        <v>0.63</v>
      </c>
      <c r="F648" s="12">
        <v>49.9</v>
      </c>
      <c r="G648" s="13">
        <v>44462.659452962966</v>
      </c>
      <c r="H648" s="14">
        <f>IFERROR(__xludf.DUMMYFUNCTION("SPLIT(G648, "", "")"),44462.0)</f>
        <v>44462</v>
      </c>
      <c r="I648" s="15">
        <f>IFERROR(__xludf.DUMMYFUNCTION("""COMPUTED_VALUE"""),0.6594560185185185)</f>
        <v>0.6594560185</v>
      </c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12">
        <v>3.52</v>
      </c>
      <c r="B649" s="12">
        <v>227.0</v>
      </c>
      <c r="C649" s="12">
        <v>507.5</v>
      </c>
      <c r="D649" s="12">
        <v>3.6</v>
      </c>
      <c r="E649" s="12">
        <v>0.63</v>
      </c>
      <c r="F649" s="12">
        <v>49.9</v>
      </c>
      <c r="G649" s="13">
        <v>44462.65955224537</v>
      </c>
      <c r="H649" s="14">
        <f>IFERROR(__xludf.DUMMYFUNCTION("SPLIT(G649, "", "")"),44462.0)</f>
        <v>44462</v>
      </c>
      <c r="I649" s="15">
        <f>IFERROR(__xludf.DUMMYFUNCTION("""COMPUTED_VALUE"""),0.6595486111111111)</f>
        <v>0.6595486111</v>
      </c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12">
        <v>3.53</v>
      </c>
      <c r="B650" s="12">
        <v>227.0</v>
      </c>
      <c r="C650" s="12">
        <v>507.7</v>
      </c>
      <c r="D650" s="12">
        <v>3.6</v>
      </c>
      <c r="E650" s="12">
        <v>0.63</v>
      </c>
      <c r="F650" s="12">
        <v>49.9</v>
      </c>
      <c r="G650" s="13">
        <v>44462.65965696759</v>
      </c>
      <c r="H650" s="14">
        <f>IFERROR(__xludf.DUMMYFUNCTION("SPLIT(G650, "", "")"),44462.0)</f>
        <v>44462</v>
      </c>
      <c r="I650" s="15">
        <f>IFERROR(__xludf.DUMMYFUNCTION("""COMPUTED_VALUE"""),0.6596527777777778)</f>
        <v>0.6596527778</v>
      </c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12">
        <v>3.53</v>
      </c>
      <c r="B651" s="12">
        <v>226.9</v>
      </c>
      <c r="C651" s="12">
        <v>507.7</v>
      </c>
      <c r="D651" s="12">
        <v>3.6</v>
      </c>
      <c r="E651" s="12">
        <v>0.63</v>
      </c>
      <c r="F651" s="12">
        <v>50.0</v>
      </c>
      <c r="G651" s="13">
        <v>44462.65976787037</v>
      </c>
      <c r="H651" s="14">
        <f>IFERROR(__xludf.DUMMYFUNCTION("SPLIT(G651, "", "")"),44462.0)</f>
        <v>44462</v>
      </c>
      <c r="I651" s="15">
        <f>IFERROR(__xludf.DUMMYFUNCTION("""COMPUTED_VALUE"""),0.6597685185185185)</f>
        <v>0.6597685185</v>
      </c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12">
        <v>3.52</v>
      </c>
      <c r="B652" s="12">
        <v>226.8</v>
      </c>
      <c r="C652" s="12">
        <v>507.8</v>
      </c>
      <c r="D652" s="12">
        <v>3.6</v>
      </c>
      <c r="E652" s="12">
        <v>0.64</v>
      </c>
      <c r="F652" s="12">
        <v>49.9</v>
      </c>
      <c r="G652" s="13">
        <v>44462.6598684375</v>
      </c>
      <c r="H652" s="14">
        <f>IFERROR(__xludf.DUMMYFUNCTION("SPLIT(G652, "", "")"),44462.0)</f>
        <v>44462</v>
      </c>
      <c r="I652" s="15">
        <f>IFERROR(__xludf.DUMMYFUNCTION("""COMPUTED_VALUE"""),0.6598726851851852)</f>
        <v>0.6598726852</v>
      </c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12">
        <v>3.52</v>
      </c>
      <c r="B653" s="12">
        <v>226.8</v>
      </c>
      <c r="C653" s="12">
        <v>507.8</v>
      </c>
      <c r="D653" s="12">
        <v>3.6</v>
      </c>
      <c r="E653" s="12">
        <v>0.64</v>
      </c>
      <c r="F653" s="12">
        <v>49.9</v>
      </c>
      <c r="G653" s="13">
        <v>44462.660032395834</v>
      </c>
      <c r="H653" s="14">
        <f>IFERROR(__xludf.DUMMYFUNCTION("SPLIT(G653, "", "")"),44462.0)</f>
        <v>44462</v>
      </c>
      <c r="I653" s="15">
        <f>IFERROR(__xludf.DUMMYFUNCTION("""COMPUTED_VALUE"""),0.6600347222222223)</f>
        <v>0.6600347222</v>
      </c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12">
        <v>3.53</v>
      </c>
      <c r="B654" s="12">
        <v>226.9</v>
      </c>
      <c r="C654" s="12">
        <v>507.9</v>
      </c>
      <c r="D654" s="12">
        <v>3.61</v>
      </c>
      <c r="E654" s="12">
        <v>0.63</v>
      </c>
      <c r="F654" s="12">
        <v>50.0</v>
      </c>
      <c r="G654" s="13">
        <v>44462.66013834491</v>
      </c>
      <c r="H654" s="14">
        <f>IFERROR(__xludf.DUMMYFUNCTION("SPLIT(G654, "", "")"),44462.0)</f>
        <v>44462</v>
      </c>
      <c r="I654" s="15">
        <f>IFERROR(__xludf.DUMMYFUNCTION("""COMPUTED_VALUE"""),0.6601388888888889)</f>
        <v>0.6601388889</v>
      </c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12">
        <v>3.52</v>
      </c>
      <c r="B655" s="12">
        <v>227.1</v>
      </c>
      <c r="C655" s="12">
        <v>508.0</v>
      </c>
      <c r="D655" s="12">
        <v>3.61</v>
      </c>
      <c r="E655" s="12">
        <v>0.63</v>
      </c>
      <c r="F655" s="12">
        <v>50.0</v>
      </c>
      <c r="G655" s="13">
        <v>44462.660244583334</v>
      </c>
      <c r="H655" s="14">
        <f>IFERROR(__xludf.DUMMYFUNCTION("SPLIT(G655, "", "")"),44462.0)</f>
        <v>44462</v>
      </c>
      <c r="I655" s="15">
        <f>IFERROR(__xludf.DUMMYFUNCTION("""COMPUTED_VALUE"""),0.6602430555555555)</f>
        <v>0.6602430556</v>
      </c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12">
        <v>3.53</v>
      </c>
      <c r="B656" s="12">
        <v>227.1</v>
      </c>
      <c r="C656" s="12">
        <v>508.2</v>
      </c>
      <c r="D656" s="12">
        <v>3.61</v>
      </c>
      <c r="E656" s="12">
        <v>0.63</v>
      </c>
      <c r="F656" s="12">
        <v>50.0</v>
      </c>
      <c r="G656" s="13">
        <v>44462.660344247684</v>
      </c>
      <c r="H656" s="14">
        <f>IFERROR(__xludf.DUMMYFUNCTION("SPLIT(G656, "", "")"),44462.0)</f>
        <v>44462</v>
      </c>
      <c r="I656" s="15">
        <f>IFERROR(__xludf.DUMMYFUNCTION("""COMPUTED_VALUE"""),0.6603472222222222)</f>
        <v>0.6603472222</v>
      </c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12">
        <v>3.53</v>
      </c>
      <c r="B657" s="12">
        <v>227.1</v>
      </c>
      <c r="C657" s="12">
        <v>508.2</v>
      </c>
      <c r="D657" s="12">
        <v>3.61</v>
      </c>
      <c r="E657" s="12">
        <v>0.63</v>
      </c>
      <c r="F657" s="12">
        <v>50.0</v>
      </c>
      <c r="G657" s="13">
        <v>44462.66044601852</v>
      </c>
      <c r="H657" s="14">
        <f>IFERROR(__xludf.DUMMYFUNCTION("SPLIT(G657, "", "")"),44462.0)</f>
        <v>44462</v>
      </c>
      <c r="I657" s="15">
        <f>IFERROR(__xludf.DUMMYFUNCTION("""COMPUTED_VALUE"""),0.6604513888888889)</f>
        <v>0.6604513889</v>
      </c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12">
        <v>3.51</v>
      </c>
      <c r="B658" s="12">
        <v>227.3</v>
      </c>
      <c r="C658" s="12">
        <v>508.2</v>
      </c>
      <c r="D658" s="12">
        <v>3.61</v>
      </c>
      <c r="E658" s="12">
        <v>0.64</v>
      </c>
      <c r="F658" s="12">
        <v>50.0</v>
      </c>
      <c r="G658" s="13">
        <v>44462.66055221065</v>
      </c>
      <c r="H658" s="14">
        <f>IFERROR(__xludf.DUMMYFUNCTION("SPLIT(G658, "", "")"),44462.0)</f>
        <v>44462</v>
      </c>
      <c r="I658" s="15">
        <f>IFERROR(__xludf.DUMMYFUNCTION("""COMPUTED_VALUE"""),0.6605555555555556)</f>
        <v>0.6605555556</v>
      </c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12">
        <v>3.51</v>
      </c>
      <c r="B659" s="12">
        <v>227.4</v>
      </c>
      <c r="C659" s="12">
        <v>508.2</v>
      </c>
      <c r="D659" s="12">
        <v>3.61</v>
      </c>
      <c r="E659" s="12">
        <v>0.64</v>
      </c>
      <c r="F659" s="12">
        <v>50.0</v>
      </c>
      <c r="G659" s="13">
        <v>44462.66065662037</v>
      </c>
      <c r="H659" s="14">
        <f>IFERROR(__xludf.DUMMYFUNCTION("SPLIT(G659, "", "")"),44462.0)</f>
        <v>44462</v>
      </c>
      <c r="I659" s="15">
        <f>IFERROR(__xludf.DUMMYFUNCTION("""COMPUTED_VALUE"""),0.6606597222222222)</f>
        <v>0.6606597222</v>
      </c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12">
        <v>3.51</v>
      </c>
      <c r="B660" s="12">
        <v>227.5</v>
      </c>
      <c r="C660" s="12">
        <v>508.3</v>
      </c>
      <c r="D660" s="12">
        <v>3.61</v>
      </c>
      <c r="E660" s="12">
        <v>0.64</v>
      </c>
      <c r="F660" s="12">
        <v>50.0</v>
      </c>
      <c r="G660" s="13">
        <v>44462.66075574074</v>
      </c>
      <c r="H660" s="14">
        <f>IFERROR(__xludf.DUMMYFUNCTION("SPLIT(G660, "", "")"),44462.0)</f>
        <v>44462</v>
      </c>
      <c r="I660" s="15">
        <f>IFERROR(__xludf.DUMMYFUNCTION("""COMPUTED_VALUE"""),0.6607523148148148)</f>
        <v>0.6607523148</v>
      </c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12">
        <v>3.51</v>
      </c>
      <c r="B661" s="12">
        <v>227.4</v>
      </c>
      <c r="C661" s="12">
        <v>508.3</v>
      </c>
      <c r="D661" s="12">
        <v>3.61</v>
      </c>
      <c r="E661" s="12">
        <v>0.64</v>
      </c>
      <c r="F661" s="12">
        <v>50.0</v>
      </c>
      <c r="G661" s="13">
        <v>44462.66085497686</v>
      </c>
      <c r="H661" s="14">
        <f>IFERROR(__xludf.DUMMYFUNCTION("SPLIT(G661, "", "")"),44462.0)</f>
        <v>44462</v>
      </c>
      <c r="I661" s="15">
        <f>IFERROR(__xludf.DUMMYFUNCTION("""COMPUTED_VALUE"""),0.6608564814814815)</f>
        <v>0.6608564815</v>
      </c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12">
        <v>3.51</v>
      </c>
      <c r="B662" s="12">
        <v>227.4</v>
      </c>
      <c r="C662" s="12">
        <v>508.4</v>
      </c>
      <c r="D662" s="12">
        <v>3.62</v>
      </c>
      <c r="E662" s="12">
        <v>0.64</v>
      </c>
      <c r="F662" s="12">
        <v>50.0</v>
      </c>
      <c r="G662" s="13">
        <v>44462.660955555555</v>
      </c>
      <c r="H662" s="14">
        <f>IFERROR(__xludf.DUMMYFUNCTION("SPLIT(G662, "", "")"),44462.0)</f>
        <v>44462</v>
      </c>
      <c r="I662" s="15">
        <f>IFERROR(__xludf.DUMMYFUNCTION("""COMPUTED_VALUE"""),0.6609606481481481)</f>
        <v>0.6609606481</v>
      </c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12">
        <v>3.51</v>
      </c>
      <c r="B663" s="12">
        <v>227.4</v>
      </c>
      <c r="C663" s="12">
        <v>508.5</v>
      </c>
      <c r="D663" s="12">
        <v>3.62</v>
      </c>
      <c r="E663" s="12">
        <v>0.64</v>
      </c>
      <c r="F663" s="12">
        <v>50.0</v>
      </c>
      <c r="G663" s="13">
        <v>44462.661064432876</v>
      </c>
      <c r="H663" s="14">
        <f>IFERROR(__xludf.DUMMYFUNCTION("SPLIT(G663, "", "")"),44462.0)</f>
        <v>44462</v>
      </c>
      <c r="I663" s="15">
        <f>IFERROR(__xludf.DUMMYFUNCTION("""COMPUTED_VALUE"""),0.6610648148148148)</f>
        <v>0.6610648148</v>
      </c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12">
        <v>3.52</v>
      </c>
      <c r="B664" s="12">
        <v>227.4</v>
      </c>
      <c r="C664" s="12">
        <v>508.5</v>
      </c>
      <c r="D664" s="12">
        <v>3.62</v>
      </c>
      <c r="E664" s="12">
        <v>0.64</v>
      </c>
      <c r="F664" s="12">
        <v>50.0</v>
      </c>
      <c r="G664" s="13">
        <v>44462.6611690162</v>
      </c>
      <c r="H664" s="14">
        <f>IFERROR(__xludf.DUMMYFUNCTION("SPLIT(G664, "", "")"),44462.0)</f>
        <v>44462</v>
      </c>
      <c r="I664" s="15">
        <f>IFERROR(__xludf.DUMMYFUNCTION("""COMPUTED_VALUE"""),0.6611689814814815)</f>
        <v>0.6611689815</v>
      </c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12">
        <v>3.51</v>
      </c>
      <c r="B665" s="12">
        <v>227.7</v>
      </c>
      <c r="C665" s="12">
        <v>508.5</v>
      </c>
      <c r="D665" s="12">
        <v>3.62</v>
      </c>
      <c r="E665" s="12">
        <v>0.64</v>
      </c>
      <c r="F665" s="12">
        <v>50.0</v>
      </c>
      <c r="G665" s="13">
        <v>44462.66127216435</v>
      </c>
      <c r="H665" s="14">
        <f>IFERROR(__xludf.DUMMYFUNCTION("SPLIT(G665, "", "")"),44462.0)</f>
        <v>44462</v>
      </c>
      <c r="I665" s="15">
        <f>IFERROR(__xludf.DUMMYFUNCTION("""COMPUTED_VALUE"""),0.6612731481481482)</f>
        <v>0.6612731481</v>
      </c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12">
        <v>3.51</v>
      </c>
      <c r="B666" s="12">
        <v>227.8</v>
      </c>
      <c r="C666" s="12">
        <v>508.6</v>
      </c>
      <c r="D666" s="12">
        <v>3.62</v>
      </c>
      <c r="E666" s="12">
        <v>0.64</v>
      </c>
      <c r="F666" s="12">
        <v>50.0</v>
      </c>
      <c r="G666" s="13">
        <v>44462.66139609954</v>
      </c>
      <c r="H666" s="14">
        <f>IFERROR(__xludf.DUMMYFUNCTION("SPLIT(G666, "", "")"),44462.0)</f>
        <v>44462</v>
      </c>
      <c r="I666" s="15">
        <f>IFERROR(__xludf.DUMMYFUNCTION("""COMPUTED_VALUE"""),0.661400462962963)</f>
        <v>0.661400463</v>
      </c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12">
        <v>3.51</v>
      </c>
      <c r="B667" s="12">
        <v>228.0</v>
      </c>
      <c r="C667" s="12">
        <v>508.8</v>
      </c>
      <c r="D667" s="12">
        <v>3.62</v>
      </c>
      <c r="E667" s="12">
        <v>0.64</v>
      </c>
      <c r="F667" s="12">
        <v>50.0</v>
      </c>
      <c r="G667" s="13">
        <v>44462.66149861111</v>
      </c>
      <c r="H667" s="14">
        <f>IFERROR(__xludf.DUMMYFUNCTION("SPLIT(G667, "", "")"),44462.0)</f>
        <v>44462</v>
      </c>
      <c r="I667" s="15">
        <f>IFERROR(__xludf.DUMMYFUNCTION("""COMPUTED_VALUE"""),0.6614930555555556)</f>
        <v>0.6614930556</v>
      </c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12">
        <v>3.5</v>
      </c>
      <c r="B668" s="12">
        <v>227.9</v>
      </c>
      <c r="C668" s="12">
        <v>508.7</v>
      </c>
      <c r="D668" s="12">
        <v>3.62</v>
      </c>
      <c r="E668" s="12">
        <v>0.64</v>
      </c>
      <c r="F668" s="12">
        <v>50.0</v>
      </c>
      <c r="G668" s="13">
        <v>44462.66160209491</v>
      </c>
      <c r="H668" s="14">
        <f>IFERROR(__xludf.DUMMYFUNCTION("SPLIT(G668, "", "")"),44462.0)</f>
        <v>44462</v>
      </c>
      <c r="I668" s="15">
        <f>IFERROR(__xludf.DUMMYFUNCTION("""COMPUTED_VALUE"""),0.6615972222222222)</f>
        <v>0.6615972222</v>
      </c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12">
        <v>3.51</v>
      </c>
      <c r="B669" s="12">
        <v>227.7</v>
      </c>
      <c r="C669" s="12">
        <v>508.8</v>
      </c>
      <c r="D669" s="12">
        <v>3.62</v>
      </c>
      <c r="E669" s="12">
        <v>0.64</v>
      </c>
      <c r="F669" s="12">
        <v>50.0</v>
      </c>
      <c r="G669" s="13">
        <v>44462.66170778935</v>
      </c>
      <c r="H669" s="14">
        <f>IFERROR(__xludf.DUMMYFUNCTION("SPLIT(G669, "", "")"),44462.0)</f>
        <v>44462</v>
      </c>
      <c r="I669" s="15">
        <f>IFERROR(__xludf.DUMMYFUNCTION("""COMPUTED_VALUE"""),0.661712962962963)</f>
        <v>0.661712963</v>
      </c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12">
        <v>3.51</v>
      </c>
      <c r="B670" s="12">
        <v>227.9</v>
      </c>
      <c r="C670" s="12">
        <v>508.7</v>
      </c>
      <c r="D670" s="12">
        <v>3.63</v>
      </c>
      <c r="E670" s="12">
        <v>0.64</v>
      </c>
      <c r="F670" s="12">
        <v>50.0</v>
      </c>
      <c r="G670" s="13">
        <v>44462.66181013889</v>
      </c>
      <c r="H670" s="14">
        <f>IFERROR(__xludf.DUMMYFUNCTION("SPLIT(G670, "", "")"),44462.0)</f>
        <v>44462</v>
      </c>
      <c r="I670" s="15">
        <f>IFERROR(__xludf.DUMMYFUNCTION("""COMPUTED_VALUE"""),0.6618055555555555)</f>
        <v>0.6618055556</v>
      </c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12">
        <v>3.51</v>
      </c>
      <c r="B671" s="12">
        <v>227.6</v>
      </c>
      <c r="C671" s="12">
        <v>508.8</v>
      </c>
      <c r="D671" s="12">
        <v>3.63</v>
      </c>
      <c r="E671" s="12">
        <v>0.64</v>
      </c>
      <c r="F671" s="12">
        <v>50.0</v>
      </c>
      <c r="G671" s="13">
        <v>44462.661912083335</v>
      </c>
      <c r="H671" s="14">
        <f>IFERROR(__xludf.DUMMYFUNCTION("SPLIT(G671, "", "")"),44462.0)</f>
        <v>44462</v>
      </c>
      <c r="I671" s="15">
        <f>IFERROR(__xludf.DUMMYFUNCTION("""COMPUTED_VALUE"""),0.6619097222222222)</f>
        <v>0.6619097222</v>
      </c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12">
        <v>3.51</v>
      </c>
      <c r="B672" s="12">
        <v>227.7</v>
      </c>
      <c r="C672" s="12">
        <v>508.9</v>
      </c>
      <c r="D672" s="12">
        <v>3.63</v>
      </c>
      <c r="E672" s="12">
        <v>0.64</v>
      </c>
      <c r="F672" s="12">
        <v>49.9</v>
      </c>
      <c r="G672" s="13">
        <v>44462.66201349537</v>
      </c>
      <c r="H672" s="14">
        <f>IFERROR(__xludf.DUMMYFUNCTION("SPLIT(G672, "", "")"),44462.0)</f>
        <v>44462</v>
      </c>
      <c r="I672" s="15">
        <f>IFERROR(__xludf.DUMMYFUNCTION("""COMPUTED_VALUE"""),0.6620138888888889)</f>
        <v>0.6620138889</v>
      </c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12">
        <v>3.52</v>
      </c>
      <c r="B673" s="12">
        <v>227.8</v>
      </c>
      <c r="C673" s="12">
        <v>509.0</v>
      </c>
      <c r="D673" s="12">
        <v>3.63</v>
      </c>
      <c r="E673" s="12">
        <v>0.64</v>
      </c>
      <c r="F673" s="12">
        <v>49.9</v>
      </c>
      <c r="G673" s="13">
        <v>44462.66211369213</v>
      </c>
      <c r="H673" s="14">
        <f>IFERROR(__xludf.DUMMYFUNCTION("SPLIT(G673, "", "")"),44462.0)</f>
        <v>44462</v>
      </c>
      <c r="I673" s="15">
        <f>IFERROR(__xludf.DUMMYFUNCTION("""COMPUTED_VALUE"""),0.6621180555555556)</f>
        <v>0.6621180556</v>
      </c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12">
        <v>3.51</v>
      </c>
      <c r="B674" s="12">
        <v>227.6</v>
      </c>
      <c r="C674" s="12">
        <v>509.0</v>
      </c>
      <c r="D674" s="12">
        <v>3.63</v>
      </c>
      <c r="E674" s="12">
        <v>0.64</v>
      </c>
      <c r="F674" s="12">
        <v>50.0</v>
      </c>
      <c r="G674" s="13">
        <v>44462.662214247684</v>
      </c>
      <c r="H674" s="14">
        <f>IFERROR(__xludf.DUMMYFUNCTION("SPLIT(G674, "", "")"),44462.0)</f>
        <v>44462</v>
      </c>
      <c r="I674" s="15">
        <f>IFERROR(__xludf.DUMMYFUNCTION("""COMPUTED_VALUE"""),0.6622106481481481)</f>
        <v>0.6622106481</v>
      </c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12">
        <v>3.51</v>
      </c>
      <c r="B675" s="12">
        <v>227.8</v>
      </c>
      <c r="C675" s="12">
        <v>509.1</v>
      </c>
      <c r="D675" s="12">
        <v>3.63</v>
      </c>
      <c r="E675" s="12">
        <v>0.64</v>
      </c>
      <c r="F675" s="12">
        <v>50.0</v>
      </c>
      <c r="G675" s="13">
        <v>44462.662315</v>
      </c>
      <c r="H675" s="14">
        <f>IFERROR(__xludf.DUMMYFUNCTION("SPLIT(G675, "", "")"),44462.0)</f>
        <v>44462</v>
      </c>
      <c r="I675" s="15">
        <f>IFERROR(__xludf.DUMMYFUNCTION("""COMPUTED_VALUE"""),0.6623148148148148)</f>
        <v>0.6623148148</v>
      </c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12">
        <v>3.51</v>
      </c>
      <c r="B676" s="12">
        <v>228.0</v>
      </c>
      <c r="C676" s="12">
        <v>509.2</v>
      </c>
      <c r="D676" s="12">
        <v>3.63</v>
      </c>
      <c r="E676" s="12">
        <v>0.64</v>
      </c>
      <c r="F676" s="12">
        <v>50.0</v>
      </c>
      <c r="G676" s="13">
        <v>44462.66241517361</v>
      </c>
      <c r="H676" s="14">
        <f>IFERROR(__xludf.DUMMYFUNCTION("SPLIT(G676, "", "")"),44462.0)</f>
        <v>44462</v>
      </c>
      <c r="I676" s="15">
        <f>IFERROR(__xludf.DUMMYFUNCTION("""COMPUTED_VALUE"""),0.6624189814814815)</f>
        <v>0.6624189815</v>
      </c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12">
        <v>3.52</v>
      </c>
      <c r="B677" s="12">
        <v>227.7</v>
      </c>
      <c r="C677" s="12">
        <v>509.3</v>
      </c>
      <c r="D677" s="12">
        <v>3.63</v>
      </c>
      <c r="E677" s="12">
        <v>0.64</v>
      </c>
      <c r="F677" s="12">
        <v>50.0</v>
      </c>
      <c r="G677" s="13">
        <v>44462.66251789352</v>
      </c>
      <c r="H677" s="14">
        <f>IFERROR(__xludf.DUMMYFUNCTION("SPLIT(G677, "", "")"),44462.0)</f>
        <v>44462</v>
      </c>
      <c r="I677" s="15">
        <f>IFERROR(__xludf.DUMMYFUNCTION("""COMPUTED_VALUE"""),0.6625231481481482)</f>
        <v>0.6625231481</v>
      </c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12">
        <v>3.51</v>
      </c>
      <c r="B678" s="12">
        <v>227.8</v>
      </c>
      <c r="C678" s="12">
        <v>509.4</v>
      </c>
      <c r="D678" s="12">
        <v>3.63</v>
      </c>
      <c r="E678" s="12">
        <v>0.64</v>
      </c>
      <c r="F678" s="12">
        <v>50.0</v>
      </c>
      <c r="G678" s="13">
        <v>44462.662619166666</v>
      </c>
      <c r="H678" s="14">
        <f>IFERROR(__xludf.DUMMYFUNCTION("SPLIT(G678, "", "")"),44462.0)</f>
        <v>44462</v>
      </c>
      <c r="I678" s="15">
        <f>IFERROR(__xludf.DUMMYFUNCTION("""COMPUTED_VALUE"""),0.6626157407407407)</f>
        <v>0.6626157407</v>
      </c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12">
        <v>3.51</v>
      </c>
      <c r="B679" s="12">
        <v>227.7</v>
      </c>
      <c r="C679" s="12">
        <v>509.4</v>
      </c>
      <c r="D679" s="12">
        <v>3.64</v>
      </c>
      <c r="E679" s="12">
        <v>0.64</v>
      </c>
      <c r="F679" s="12">
        <v>50.0</v>
      </c>
      <c r="G679" s="13">
        <v>44462.6627219213</v>
      </c>
      <c r="H679" s="14">
        <f>IFERROR(__xludf.DUMMYFUNCTION("SPLIT(G679, "", "")"),44462.0)</f>
        <v>44462</v>
      </c>
      <c r="I679" s="15">
        <f>IFERROR(__xludf.DUMMYFUNCTION("""COMPUTED_VALUE"""),0.6627199074074074)</f>
        <v>0.6627199074</v>
      </c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12">
        <v>3.51</v>
      </c>
      <c r="B680" s="12">
        <v>227.8</v>
      </c>
      <c r="C680" s="12">
        <v>509.4</v>
      </c>
      <c r="D680" s="12">
        <v>3.64</v>
      </c>
      <c r="E680" s="12">
        <v>0.64</v>
      </c>
      <c r="F680" s="12">
        <v>50.0</v>
      </c>
      <c r="G680" s="13">
        <v>44462.66282965278</v>
      </c>
      <c r="H680" s="14">
        <f>IFERROR(__xludf.DUMMYFUNCTION("SPLIT(G680, "", "")"),44462.0)</f>
        <v>44462</v>
      </c>
      <c r="I680" s="15">
        <f>IFERROR(__xludf.DUMMYFUNCTION("""COMPUTED_VALUE"""),0.6628240740740741)</f>
        <v>0.6628240741</v>
      </c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12">
        <v>3.51</v>
      </c>
      <c r="B681" s="12">
        <v>227.7</v>
      </c>
      <c r="C681" s="12">
        <v>509.5</v>
      </c>
      <c r="D681" s="12">
        <v>3.64</v>
      </c>
      <c r="E681" s="12">
        <v>0.64</v>
      </c>
      <c r="F681" s="12">
        <v>50.0</v>
      </c>
      <c r="G681" s="13">
        <v>44462.66293179398</v>
      </c>
      <c r="H681" s="14">
        <f>IFERROR(__xludf.DUMMYFUNCTION("SPLIT(G681, "", "")"),44462.0)</f>
        <v>44462</v>
      </c>
      <c r="I681" s="15">
        <f>IFERROR(__xludf.DUMMYFUNCTION("""COMPUTED_VALUE"""),0.6629282407407407)</f>
        <v>0.6629282407</v>
      </c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12">
        <v>3.51</v>
      </c>
      <c r="B682" s="12">
        <v>227.7</v>
      </c>
      <c r="C682" s="12">
        <v>509.6</v>
      </c>
      <c r="D682" s="12">
        <v>3.64</v>
      </c>
      <c r="E682" s="12">
        <v>0.64</v>
      </c>
      <c r="F682" s="12">
        <v>50.0</v>
      </c>
      <c r="G682" s="13">
        <v>44462.663035729165</v>
      </c>
      <c r="H682" s="14">
        <f>IFERROR(__xludf.DUMMYFUNCTION("SPLIT(G682, "", "")"),44462.0)</f>
        <v>44462</v>
      </c>
      <c r="I682" s="15">
        <f>IFERROR(__xludf.DUMMYFUNCTION("""COMPUTED_VALUE"""),0.6630324074074074)</f>
        <v>0.6630324074</v>
      </c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12">
        <v>3.52</v>
      </c>
      <c r="B683" s="12">
        <v>227.6</v>
      </c>
      <c r="C683" s="12">
        <v>509.6</v>
      </c>
      <c r="D683" s="12">
        <v>3.64</v>
      </c>
      <c r="E683" s="12">
        <v>0.64</v>
      </c>
      <c r="F683" s="12">
        <v>50.0</v>
      </c>
      <c r="G683" s="13">
        <v>44462.66313734953</v>
      </c>
      <c r="H683" s="14">
        <f>IFERROR(__xludf.DUMMYFUNCTION("SPLIT(G683, "", "")"),44462.0)</f>
        <v>44462</v>
      </c>
      <c r="I683" s="15">
        <f>IFERROR(__xludf.DUMMYFUNCTION("""COMPUTED_VALUE"""),0.6631365740740741)</f>
        <v>0.6631365741</v>
      </c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12">
        <v>3.52</v>
      </c>
      <c r="B684" s="12">
        <v>227.8</v>
      </c>
      <c r="C684" s="12">
        <v>509.7</v>
      </c>
      <c r="D684" s="12">
        <v>3.64</v>
      </c>
      <c r="E684" s="12">
        <v>0.64</v>
      </c>
      <c r="F684" s="12">
        <v>50.0</v>
      </c>
      <c r="G684" s="13">
        <v>44462.66323928241</v>
      </c>
      <c r="H684" s="14">
        <f>IFERROR(__xludf.DUMMYFUNCTION("SPLIT(G684, "", "")"),44462.0)</f>
        <v>44462</v>
      </c>
      <c r="I684" s="15">
        <f>IFERROR(__xludf.DUMMYFUNCTION("""COMPUTED_VALUE"""),0.6632407407407407)</f>
        <v>0.6632407407</v>
      </c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12">
        <v>3.52</v>
      </c>
      <c r="B685" s="12">
        <v>227.8</v>
      </c>
      <c r="C685" s="12">
        <v>509.7</v>
      </c>
      <c r="D685" s="12">
        <v>3.64</v>
      </c>
      <c r="E685" s="12">
        <v>0.64</v>
      </c>
      <c r="F685" s="12">
        <v>50.0</v>
      </c>
      <c r="G685" s="13">
        <v>44462.66334295139</v>
      </c>
      <c r="H685" s="14">
        <f>IFERROR(__xludf.DUMMYFUNCTION("SPLIT(G685, "", "")"),44462.0)</f>
        <v>44462</v>
      </c>
      <c r="I685" s="15">
        <f>IFERROR(__xludf.DUMMYFUNCTION("""COMPUTED_VALUE"""),0.6633449074074074)</f>
        <v>0.6633449074</v>
      </c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12">
        <v>3.52</v>
      </c>
      <c r="B686" s="12">
        <v>227.5</v>
      </c>
      <c r="C686" s="12">
        <v>509.7</v>
      </c>
      <c r="D686" s="12">
        <v>3.64</v>
      </c>
      <c r="E686" s="12">
        <v>0.64</v>
      </c>
      <c r="F686" s="12">
        <v>50.0</v>
      </c>
      <c r="G686" s="13">
        <v>44462.66344899306</v>
      </c>
      <c r="H686" s="14">
        <f>IFERROR(__xludf.DUMMYFUNCTION("SPLIT(G686, "", "")"),44462.0)</f>
        <v>44462</v>
      </c>
      <c r="I686" s="15">
        <f>IFERROR(__xludf.DUMMYFUNCTION("""COMPUTED_VALUE"""),0.663449074074074)</f>
        <v>0.6634490741</v>
      </c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12">
        <v>3.54</v>
      </c>
      <c r="B687" s="12">
        <v>227.2</v>
      </c>
      <c r="C687" s="12">
        <v>509.8</v>
      </c>
      <c r="D687" s="12">
        <v>3.65</v>
      </c>
      <c r="E687" s="12">
        <v>0.63</v>
      </c>
      <c r="F687" s="12">
        <v>50.0</v>
      </c>
      <c r="G687" s="13">
        <v>44462.66355078704</v>
      </c>
      <c r="H687" s="14">
        <f>IFERROR(__xludf.DUMMYFUNCTION("SPLIT(G687, "", "")"),44462.0)</f>
        <v>44462</v>
      </c>
      <c r="I687" s="15">
        <f>IFERROR(__xludf.DUMMYFUNCTION("""COMPUTED_VALUE"""),0.6635532407407407)</f>
        <v>0.6635532407</v>
      </c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12">
        <v>3.54</v>
      </c>
      <c r="B688" s="12">
        <v>227.0</v>
      </c>
      <c r="C688" s="12">
        <v>509.8</v>
      </c>
      <c r="D688" s="12">
        <v>3.65</v>
      </c>
      <c r="E688" s="12">
        <v>0.63</v>
      </c>
      <c r="F688" s="12">
        <v>49.9</v>
      </c>
      <c r="G688" s="13">
        <v>44462.66364982639</v>
      </c>
      <c r="H688" s="14">
        <f>IFERROR(__xludf.DUMMYFUNCTION("SPLIT(G688, "", "")"),44462.0)</f>
        <v>44462</v>
      </c>
      <c r="I688" s="15">
        <f>IFERROR(__xludf.DUMMYFUNCTION("""COMPUTED_VALUE"""),0.6636458333333334)</f>
        <v>0.6636458333</v>
      </c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12">
        <v>3.54</v>
      </c>
      <c r="B689" s="12">
        <v>227.0</v>
      </c>
      <c r="C689" s="12">
        <v>509.8</v>
      </c>
      <c r="D689" s="12">
        <v>3.65</v>
      </c>
      <c r="E689" s="12">
        <v>0.63</v>
      </c>
      <c r="F689" s="12">
        <v>49.9</v>
      </c>
      <c r="G689" s="13">
        <v>44462.663751319444</v>
      </c>
      <c r="H689" s="14">
        <f>IFERROR(__xludf.DUMMYFUNCTION("SPLIT(G689, "", "")"),44462.0)</f>
        <v>44462</v>
      </c>
      <c r="I689" s="15">
        <f>IFERROR(__xludf.DUMMYFUNCTION("""COMPUTED_VALUE"""),0.66375)</f>
        <v>0.66375</v>
      </c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12">
        <v>3.54</v>
      </c>
      <c r="B690" s="12">
        <v>227.0</v>
      </c>
      <c r="C690" s="12">
        <v>509.9</v>
      </c>
      <c r="D690" s="12">
        <v>3.65</v>
      </c>
      <c r="E690" s="12">
        <v>0.63</v>
      </c>
      <c r="F690" s="12">
        <v>50.0</v>
      </c>
      <c r="G690" s="13">
        <v>44462.66385287037</v>
      </c>
      <c r="H690" s="14">
        <f>IFERROR(__xludf.DUMMYFUNCTION("SPLIT(G690, "", "")"),44462.0)</f>
        <v>44462</v>
      </c>
      <c r="I690" s="15">
        <f>IFERROR(__xludf.DUMMYFUNCTION("""COMPUTED_VALUE"""),0.6638541666666666)</f>
        <v>0.6638541667</v>
      </c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12">
        <v>3.55</v>
      </c>
      <c r="B691" s="12">
        <v>226.9</v>
      </c>
      <c r="C691" s="12">
        <v>509.9</v>
      </c>
      <c r="D691" s="12">
        <v>3.65</v>
      </c>
      <c r="E691" s="12">
        <v>0.63</v>
      </c>
      <c r="F691" s="12">
        <v>50.0</v>
      </c>
      <c r="G691" s="13">
        <v>44462.663955428245</v>
      </c>
      <c r="H691" s="14">
        <f>IFERROR(__xludf.DUMMYFUNCTION("SPLIT(G691, "", "")"),44462.0)</f>
        <v>44462</v>
      </c>
      <c r="I691" s="15">
        <f>IFERROR(__xludf.DUMMYFUNCTION("""COMPUTED_VALUE"""),0.6639583333333333)</f>
        <v>0.6639583333</v>
      </c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12">
        <v>3.54</v>
      </c>
      <c r="B692" s="12">
        <v>227.1</v>
      </c>
      <c r="C692" s="12">
        <v>510.0</v>
      </c>
      <c r="D692" s="12">
        <v>3.65</v>
      </c>
      <c r="E692" s="12">
        <v>0.64</v>
      </c>
      <c r="F692" s="12">
        <v>50.0</v>
      </c>
      <c r="G692" s="13">
        <v>44462.664058263894</v>
      </c>
      <c r="H692" s="14">
        <f>IFERROR(__xludf.DUMMYFUNCTION("SPLIT(G692, "", "")"),44462.0)</f>
        <v>44462</v>
      </c>
      <c r="I692" s="15">
        <f>IFERROR(__xludf.DUMMYFUNCTION("""COMPUTED_VALUE"""),0.6640625)</f>
        <v>0.6640625</v>
      </c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12">
        <v>3.54</v>
      </c>
      <c r="B693" s="12">
        <v>227.2</v>
      </c>
      <c r="C693" s="12">
        <v>510.1</v>
      </c>
      <c r="D693" s="12">
        <v>3.65</v>
      </c>
      <c r="E693" s="12">
        <v>0.63</v>
      </c>
      <c r="F693" s="12">
        <v>50.0</v>
      </c>
      <c r="G693" s="13">
        <v>44462.66415964121</v>
      </c>
      <c r="H693" s="14">
        <f>IFERROR(__xludf.DUMMYFUNCTION("SPLIT(G693, "", "")"),44462.0)</f>
        <v>44462</v>
      </c>
      <c r="I693" s="15">
        <f>IFERROR(__xludf.DUMMYFUNCTION("""COMPUTED_VALUE"""),0.6641550925925926)</f>
        <v>0.6641550926</v>
      </c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12">
        <v>3.53</v>
      </c>
      <c r="B694" s="12">
        <v>227.3</v>
      </c>
      <c r="C694" s="12">
        <v>510.1</v>
      </c>
      <c r="D694" s="12">
        <v>3.65</v>
      </c>
      <c r="E694" s="12">
        <v>0.64</v>
      </c>
      <c r="F694" s="12">
        <v>50.0</v>
      </c>
      <c r="G694" s="13">
        <v>44462.66425958333</v>
      </c>
      <c r="H694" s="14">
        <f>IFERROR(__xludf.DUMMYFUNCTION("SPLIT(G694, "", "")"),44462.0)</f>
        <v>44462</v>
      </c>
      <c r="I694" s="15">
        <f>IFERROR(__xludf.DUMMYFUNCTION("""COMPUTED_VALUE"""),0.6642592592592592)</f>
        <v>0.6642592593</v>
      </c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12">
        <v>3.53</v>
      </c>
      <c r="B695" s="12">
        <v>227.3</v>
      </c>
      <c r="C695" s="12">
        <v>510.2</v>
      </c>
      <c r="D695" s="12">
        <v>3.66</v>
      </c>
      <c r="E695" s="12">
        <v>0.64</v>
      </c>
      <c r="F695" s="12">
        <v>50.0</v>
      </c>
      <c r="G695" s="13">
        <v>44462.66436461806</v>
      </c>
      <c r="H695" s="14">
        <f>IFERROR(__xludf.DUMMYFUNCTION("SPLIT(G695, "", "")"),44462.0)</f>
        <v>44462</v>
      </c>
      <c r="I695" s="15">
        <f>IFERROR(__xludf.DUMMYFUNCTION("""COMPUTED_VALUE"""),0.6643634259259259)</f>
        <v>0.6643634259</v>
      </c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12">
        <v>3.53</v>
      </c>
      <c r="B696" s="12">
        <v>227.3</v>
      </c>
      <c r="C696" s="12">
        <v>510.2</v>
      </c>
      <c r="D696" s="12">
        <v>3.66</v>
      </c>
      <c r="E696" s="12">
        <v>0.64</v>
      </c>
      <c r="F696" s="12">
        <v>50.0</v>
      </c>
      <c r="G696" s="13">
        <v>44462.66446451389</v>
      </c>
      <c r="H696" s="14">
        <f>IFERROR(__xludf.DUMMYFUNCTION("SPLIT(G696, "", "")"),44462.0)</f>
        <v>44462</v>
      </c>
      <c r="I696" s="15">
        <f>IFERROR(__xludf.DUMMYFUNCTION("""COMPUTED_VALUE"""),0.6644675925925926)</f>
        <v>0.6644675926</v>
      </c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12">
        <v>3.53</v>
      </c>
      <c r="B697" s="12">
        <v>227.4</v>
      </c>
      <c r="C697" s="12">
        <v>510.3</v>
      </c>
      <c r="D697" s="12">
        <v>3.66</v>
      </c>
      <c r="E697" s="12">
        <v>0.64</v>
      </c>
      <c r="F697" s="12">
        <v>50.0</v>
      </c>
      <c r="G697" s="13">
        <v>44462.66456576389</v>
      </c>
      <c r="H697" s="14">
        <f>IFERROR(__xludf.DUMMYFUNCTION("SPLIT(G697, "", "")"),44462.0)</f>
        <v>44462</v>
      </c>
      <c r="I697" s="15">
        <f>IFERROR(__xludf.DUMMYFUNCTION("""COMPUTED_VALUE"""),0.6645601851851852)</f>
        <v>0.6645601852</v>
      </c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12">
        <v>3.53</v>
      </c>
      <c r="B698" s="12">
        <v>227.4</v>
      </c>
      <c r="C698" s="12">
        <v>510.3</v>
      </c>
      <c r="D698" s="12">
        <v>3.66</v>
      </c>
      <c r="E698" s="12">
        <v>0.64</v>
      </c>
      <c r="F698" s="12">
        <v>50.0</v>
      </c>
      <c r="G698" s="13">
        <v>44462.66467056713</v>
      </c>
      <c r="H698" s="14">
        <f>IFERROR(__xludf.DUMMYFUNCTION("SPLIT(G698, "", "")"),44462.0)</f>
        <v>44462</v>
      </c>
      <c r="I698" s="15">
        <f>IFERROR(__xludf.DUMMYFUNCTION("""COMPUTED_VALUE"""),0.664675925925926)</f>
        <v>0.6646759259</v>
      </c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12">
        <v>3.53</v>
      </c>
      <c r="B699" s="12">
        <v>227.5</v>
      </c>
      <c r="C699" s="12">
        <v>510.5</v>
      </c>
      <c r="D699" s="12">
        <v>3.66</v>
      </c>
      <c r="E699" s="12">
        <v>0.63</v>
      </c>
      <c r="F699" s="12">
        <v>50.0</v>
      </c>
      <c r="G699" s="13">
        <v>44462.66477740741</v>
      </c>
      <c r="H699" s="14">
        <f>IFERROR(__xludf.DUMMYFUNCTION("SPLIT(G699, "", "")"),44462.0)</f>
        <v>44462</v>
      </c>
      <c r="I699" s="15">
        <f>IFERROR(__xludf.DUMMYFUNCTION("""COMPUTED_VALUE"""),0.6647800925925926)</f>
        <v>0.6647800926</v>
      </c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12">
        <v>3.54</v>
      </c>
      <c r="B700" s="12">
        <v>227.4</v>
      </c>
      <c r="C700" s="12">
        <v>510.5</v>
      </c>
      <c r="D700" s="12">
        <v>3.66</v>
      </c>
      <c r="E700" s="12">
        <v>0.63</v>
      </c>
      <c r="F700" s="12">
        <v>50.0</v>
      </c>
      <c r="G700" s="13">
        <v>44462.66488225694</v>
      </c>
      <c r="H700" s="14">
        <f>IFERROR(__xludf.DUMMYFUNCTION("SPLIT(G700, "", "")"),44462.0)</f>
        <v>44462</v>
      </c>
      <c r="I700" s="15">
        <f>IFERROR(__xludf.DUMMYFUNCTION("""COMPUTED_VALUE"""),0.6648842592592593)</f>
        <v>0.6648842593</v>
      </c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12">
        <v>3.54</v>
      </c>
      <c r="B701" s="12">
        <v>227.4</v>
      </c>
      <c r="C701" s="12">
        <v>510.6</v>
      </c>
      <c r="D701" s="12">
        <v>3.66</v>
      </c>
      <c r="E701" s="12">
        <v>0.64</v>
      </c>
      <c r="F701" s="12">
        <v>50.0</v>
      </c>
      <c r="G701" s="13">
        <v>44462.664988599536</v>
      </c>
      <c r="H701" s="14">
        <f>IFERROR(__xludf.DUMMYFUNCTION("SPLIT(G701, "", "")"),44462.0)</f>
        <v>44462</v>
      </c>
      <c r="I701" s="15">
        <f>IFERROR(__xludf.DUMMYFUNCTION("""COMPUTED_VALUE"""),0.6649884259259259)</f>
        <v>0.6649884259</v>
      </c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12">
        <v>3.55</v>
      </c>
      <c r="B702" s="12">
        <v>227.3</v>
      </c>
      <c r="C702" s="12">
        <v>510.8</v>
      </c>
      <c r="D702" s="12">
        <v>3.66</v>
      </c>
      <c r="E702" s="12">
        <v>0.63</v>
      </c>
      <c r="F702" s="12">
        <v>50.0</v>
      </c>
      <c r="G702" s="13">
        <v>44462.66509378472</v>
      </c>
      <c r="H702" s="14">
        <f>IFERROR(__xludf.DUMMYFUNCTION("SPLIT(G702, "", "")"),44462.0)</f>
        <v>44462</v>
      </c>
      <c r="I702" s="15">
        <f>IFERROR(__xludf.DUMMYFUNCTION("""COMPUTED_VALUE"""),0.6650925925925926)</f>
        <v>0.6650925926</v>
      </c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12">
        <v>3.54</v>
      </c>
      <c r="B703" s="12">
        <v>227.2</v>
      </c>
      <c r="C703" s="12">
        <v>510.7</v>
      </c>
      <c r="D703" s="12">
        <v>3.67</v>
      </c>
      <c r="E703" s="12">
        <v>0.63</v>
      </c>
      <c r="F703" s="12">
        <v>50.0</v>
      </c>
      <c r="G703" s="13">
        <v>44462.66519565972</v>
      </c>
      <c r="H703" s="14">
        <f>IFERROR(__xludf.DUMMYFUNCTION("SPLIT(G703, "", "")"),44462.0)</f>
        <v>44462</v>
      </c>
      <c r="I703" s="15">
        <f>IFERROR(__xludf.DUMMYFUNCTION("""COMPUTED_VALUE"""),0.6651967592592593)</f>
        <v>0.6651967593</v>
      </c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12">
        <v>3.54</v>
      </c>
      <c r="B704" s="12">
        <v>227.3</v>
      </c>
      <c r="C704" s="12">
        <v>510.7</v>
      </c>
      <c r="D704" s="12">
        <v>3.67</v>
      </c>
      <c r="E704" s="12">
        <v>0.63</v>
      </c>
      <c r="F704" s="12">
        <v>50.0</v>
      </c>
      <c r="G704" s="13">
        <v>44462.66529908565</v>
      </c>
      <c r="H704" s="14">
        <f>IFERROR(__xludf.DUMMYFUNCTION("SPLIT(G704, "", "")"),44462.0)</f>
        <v>44462</v>
      </c>
      <c r="I704" s="15">
        <f>IFERROR(__xludf.DUMMYFUNCTION("""COMPUTED_VALUE"""),0.6653009259259259)</f>
        <v>0.6653009259</v>
      </c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12">
        <v>3.54</v>
      </c>
      <c r="B705" s="12">
        <v>227.4</v>
      </c>
      <c r="C705" s="12">
        <v>510.8</v>
      </c>
      <c r="D705" s="12">
        <v>3.67</v>
      </c>
      <c r="E705" s="12">
        <v>0.63</v>
      </c>
      <c r="F705" s="12">
        <v>50.0</v>
      </c>
      <c r="G705" s="13">
        <v>44462.665402928236</v>
      </c>
      <c r="H705" s="14">
        <f>IFERROR(__xludf.DUMMYFUNCTION("SPLIT(G705, "", "")"),44462.0)</f>
        <v>44462</v>
      </c>
      <c r="I705" s="15">
        <f>IFERROR(__xludf.DUMMYFUNCTION("""COMPUTED_VALUE"""),0.6654050925925926)</f>
        <v>0.6654050926</v>
      </c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12">
        <v>3.54</v>
      </c>
      <c r="B706" s="12">
        <v>227.5</v>
      </c>
      <c r="C706" s="12">
        <v>511.0</v>
      </c>
      <c r="D706" s="12">
        <v>3.67</v>
      </c>
      <c r="E706" s="12">
        <v>0.63</v>
      </c>
      <c r="F706" s="12">
        <v>50.0</v>
      </c>
      <c r="G706" s="13">
        <v>44462.66550527778</v>
      </c>
      <c r="H706" s="14">
        <f>IFERROR(__xludf.DUMMYFUNCTION("SPLIT(G706, "", "")"),44462.0)</f>
        <v>44462</v>
      </c>
      <c r="I706" s="15">
        <f>IFERROR(__xludf.DUMMYFUNCTION("""COMPUTED_VALUE"""),0.6655092592592593)</f>
        <v>0.6655092593</v>
      </c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12">
        <v>3.54</v>
      </c>
      <c r="B707" s="12">
        <v>227.6</v>
      </c>
      <c r="C707" s="12">
        <v>510.9</v>
      </c>
      <c r="D707" s="12">
        <v>3.67</v>
      </c>
      <c r="E707" s="12">
        <v>0.63</v>
      </c>
      <c r="F707" s="12">
        <v>50.0</v>
      </c>
      <c r="G707" s="13">
        <v>44462.66563173611</v>
      </c>
      <c r="H707" s="14">
        <f>IFERROR(__xludf.DUMMYFUNCTION("SPLIT(G707, "", "")"),44462.0)</f>
        <v>44462</v>
      </c>
      <c r="I707" s="15">
        <f>IFERROR(__xludf.DUMMYFUNCTION("""COMPUTED_VALUE"""),0.6656365740740741)</f>
        <v>0.6656365741</v>
      </c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12">
        <v>3.54</v>
      </c>
      <c r="B708" s="12">
        <v>227.5</v>
      </c>
      <c r="C708" s="12">
        <v>510.9</v>
      </c>
      <c r="D708" s="12">
        <v>3.67</v>
      </c>
      <c r="E708" s="12">
        <v>0.64</v>
      </c>
      <c r="F708" s="12">
        <v>50.0</v>
      </c>
      <c r="G708" s="13">
        <v>44462.66573317129</v>
      </c>
      <c r="H708" s="14">
        <f>IFERROR(__xludf.DUMMYFUNCTION("SPLIT(G708, "", "")"),44462.0)</f>
        <v>44462</v>
      </c>
      <c r="I708" s="15">
        <f>IFERROR(__xludf.DUMMYFUNCTION("""COMPUTED_VALUE"""),0.6657291666666667)</f>
        <v>0.6657291667</v>
      </c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12">
        <v>3.54</v>
      </c>
      <c r="B709" s="12">
        <v>227.5</v>
      </c>
      <c r="C709" s="12">
        <v>510.9</v>
      </c>
      <c r="D709" s="12">
        <v>3.67</v>
      </c>
      <c r="E709" s="12">
        <v>0.63</v>
      </c>
      <c r="F709" s="12">
        <v>50.0</v>
      </c>
      <c r="G709" s="13">
        <v>44462.665830972226</v>
      </c>
      <c r="H709" s="14">
        <f>IFERROR(__xludf.DUMMYFUNCTION("SPLIT(G709, "", "")"),44462.0)</f>
        <v>44462</v>
      </c>
      <c r="I709" s="15">
        <f>IFERROR(__xludf.DUMMYFUNCTION("""COMPUTED_VALUE"""),0.6658333333333334)</f>
        <v>0.6658333333</v>
      </c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12">
        <v>3.54</v>
      </c>
      <c r="B710" s="12">
        <v>227.5</v>
      </c>
      <c r="C710" s="12">
        <v>511.0</v>
      </c>
      <c r="D710" s="12">
        <v>3.67</v>
      </c>
      <c r="E710" s="12">
        <v>0.63</v>
      </c>
      <c r="F710" s="12">
        <v>49.9</v>
      </c>
      <c r="G710" s="13">
        <v>44462.66593040509</v>
      </c>
      <c r="H710" s="14">
        <f>IFERROR(__xludf.DUMMYFUNCTION("SPLIT(G710, "", "")"),44462.0)</f>
        <v>44462</v>
      </c>
      <c r="I710" s="15">
        <f>IFERROR(__xludf.DUMMYFUNCTION("""COMPUTED_VALUE"""),0.6659259259259259)</f>
        <v>0.6659259259</v>
      </c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12">
        <v>3.55</v>
      </c>
      <c r="B711" s="12">
        <v>227.4</v>
      </c>
      <c r="C711" s="12">
        <v>511.0</v>
      </c>
      <c r="D711" s="12">
        <v>3.68</v>
      </c>
      <c r="E711" s="12">
        <v>0.63</v>
      </c>
      <c r="F711" s="12">
        <v>49.9</v>
      </c>
      <c r="G711" s="13">
        <v>44462.66603299769</v>
      </c>
      <c r="H711" s="14">
        <f>IFERROR(__xludf.DUMMYFUNCTION("SPLIT(G711, "", "")"),44462.0)</f>
        <v>44462</v>
      </c>
      <c r="I711" s="15">
        <f>IFERROR(__xludf.DUMMYFUNCTION("""COMPUTED_VALUE"""),0.6660300925925926)</f>
        <v>0.6660300926</v>
      </c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12">
        <v>3.55</v>
      </c>
      <c r="B712" s="12">
        <v>227.4</v>
      </c>
      <c r="C712" s="12">
        <v>511.1</v>
      </c>
      <c r="D712" s="12">
        <v>3.68</v>
      </c>
      <c r="E712" s="12">
        <v>0.63</v>
      </c>
      <c r="F712" s="12">
        <v>50.0</v>
      </c>
      <c r="G712" s="13">
        <v>44462.66613657407</v>
      </c>
      <c r="H712" s="14">
        <f>IFERROR(__xludf.DUMMYFUNCTION("SPLIT(G712, "", "")"),44462.0)</f>
        <v>44462</v>
      </c>
      <c r="I712" s="15">
        <f>IFERROR(__xludf.DUMMYFUNCTION("""COMPUTED_VALUE"""),0.6661342592592593)</f>
        <v>0.6661342593</v>
      </c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12">
        <v>3.55</v>
      </c>
      <c r="B713" s="12">
        <v>227.2</v>
      </c>
      <c r="C713" s="12">
        <v>511.2</v>
      </c>
      <c r="D713" s="12">
        <v>3.68</v>
      </c>
      <c r="E713" s="12">
        <v>0.63</v>
      </c>
      <c r="F713" s="12">
        <v>50.0</v>
      </c>
      <c r="G713" s="13">
        <v>44462.66623850694</v>
      </c>
      <c r="H713" s="14">
        <f>IFERROR(__xludf.DUMMYFUNCTION("SPLIT(G713, "", "")"),44462.0)</f>
        <v>44462</v>
      </c>
      <c r="I713" s="15">
        <f>IFERROR(__xludf.DUMMYFUNCTION("""COMPUTED_VALUE"""),0.666238425925926)</f>
        <v>0.6662384259</v>
      </c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12">
        <v>3.55</v>
      </c>
      <c r="B714" s="12">
        <v>227.5</v>
      </c>
      <c r="C714" s="12">
        <v>511.3</v>
      </c>
      <c r="D714" s="12">
        <v>3.68</v>
      </c>
      <c r="E714" s="12">
        <v>0.63</v>
      </c>
      <c r="F714" s="12">
        <v>50.0</v>
      </c>
      <c r="G714" s="13">
        <v>44462.66634275463</v>
      </c>
      <c r="H714" s="14">
        <f>IFERROR(__xludf.DUMMYFUNCTION("SPLIT(G714, "", "")"),44462.0)</f>
        <v>44462</v>
      </c>
      <c r="I714" s="15">
        <f>IFERROR(__xludf.DUMMYFUNCTION("""COMPUTED_VALUE"""),0.6663425925925925)</f>
        <v>0.6663425926</v>
      </c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12">
        <v>3.56</v>
      </c>
      <c r="B715" s="12">
        <v>227.3</v>
      </c>
      <c r="C715" s="12">
        <v>511.5</v>
      </c>
      <c r="D715" s="12">
        <v>3.68</v>
      </c>
      <c r="E715" s="12">
        <v>0.63</v>
      </c>
      <c r="F715" s="12">
        <v>50.0</v>
      </c>
      <c r="G715" s="13">
        <v>44462.666457569445</v>
      </c>
      <c r="H715" s="14">
        <f>IFERROR(__xludf.DUMMYFUNCTION("SPLIT(G715, "", "")"),44462.0)</f>
        <v>44462</v>
      </c>
      <c r="I715" s="15">
        <f>IFERROR(__xludf.DUMMYFUNCTION("""COMPUTED_VALUE"""),0.6664583333333334)</f>
        <v>0.6664583333</v>
      </c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12">
        <v>3.55</v>
      </c>
      <c r="B716" s="12">
        <v>227.3</v>
      </c>
      <c r="C716" s="12">
        <v>511.4</v>
      </c>
      <c r="D716" s="12">
        <v>3.68</v>
      </c>
      <c r="E716" s="12">
        <v>0.63</v>
      </c>
      <c r="F716" s="12">
        <v>50.0</v>
      </c>
      <c r="G716" s="13">
        <v>44462.66656196759</v>
      </c>
      <c r="H716" s="14">
        <f>IFERROR(__xludf.DUMMYFUNCTION("SPLIT(G716, "", "")"),44462.0)</f>
        <v>44462</v>
      </c>
      <c r="I716" s="15">
        <f>IFERROR(__xludf.DUMMYFUNCTION("""COMPUTED_VALUE"""),0.6665625)</f>
        <v>0.6665625</v>
      </c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12">
        <v>3.55</v>
      </c>
      <c r="B717" s="12">
        <v>227.5</v>
      </c>
      <c r="C717" s="12">
        <v>511.6</v>
      </c>
      <c r="D717" s="12">
        <v>3.68</v>
      </c>
      <c r="E717" s="12">
        <v>0.63</v>
      </c>
      <c r="F717" s="12">
        <v>50.0</v>
      </c>
      <c r="G717" s="13">
        <v>44462.66667003473</v>
      </c>
      <c r="H717" s="14">
        <f>IFERROR(__xludf.DUMMYFUNCTION("SPLIT(G717, "", "")"),44462.0)</f>
        <v>44462</v>
      </c>
      <c r="I717" s="15">
        <f>IFERROR(__xludf.DUMMYFUNCTION("""COMPUTED_VALUE"""),0.6666666666666666)</f>
        <v>0.6666666667</v>
      </c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12">
        <v>3.55</v>
      </c>
      <c r="B718" s="12">
        <v>227.5</v>
      </c>
      <c r="C718" s="12">
        <v>511.6</v>
      </c>
      <c r="D718" s="12">
        <v>3.69</v>
      </c>
      <c r="E718" s="12">
        <v>0.63</v>
      </c>
      <c r="F718" s="12">
        <v>50.0</v>
      </c>
      <c r="G718" s="13">
        <v>44462.66677693287</v>
      </c>
      <c r="H718" s="14">
        <f>IFERROR(__xludf.DUMMYFUNCTION("SPLIT(G718, "", "")"),44462.0)</f>
        <v>44462</v>
      </c>
      <c r="I718" s="15">
        <f>IFERROR(__xludf.DUMMYFUNCTION("""COMPUTED_VALUE"""),0.6667824074074075)</f>
        <v>0.6667824074</v>
      </c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12">
        <v>3.55</v>
      </c>
      <c r="B719" s="12">
        <v>227.4</v>
      </c>
      <c r="C719" s="12">
        <v>511.6</v>
      </c>
      <c r="D719" s="12">
        <v>3.69</v>
      </c>
      <c r="E719" s="12">
        <v>0.63</v>
      </c>
      <c r="F719" s="12">
        <v>50.0</v>
      </c>
      <c r="G719" s="13">
        <v>44462.6668772338</v>
      </c>
      <c r="H719" s="14">
        <f>IFERROR(__xludf.DUMMYFUNCTION("SPLIT(G719, "", "")"),44462.0)</f>
        <v>44462</v>
      </c>
      <c r="I719" s="15">
        <f>IFERROR(__xludf.DUMMYFUNCTION("""COMPUTED_VALUE"""),0.666875)</f>
        <v>0.666875</v>
      </c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12">
        <v>3.55</v>
      </c>
      <c r="B720" s="12">
        <v>227.5</v>
      </c>
      <c r="C720" s="12">
        <v>511.8</v>
      </c>
      <c r="D720" s="12">
        <v>3.69</v>
      </c>
      <c r="E720" s="12">
        <v>0.63</v>
      </c>
      <c r="F720" s="12">
        <v>50.0</v>
      </c>
      <c r="G720" s="13">
        <v>44462.66697954861</v>
      </c>
      <c r="H720" s="14">
        <f>IFERROR(__xludf.DUMMYFUNCTION("SPLIT(G720, "", "")"),44462.0)</f>
        <v>44462</v>
      </c>
      <c r="I720" s="15">
        <f>IFERROR(__xludf.DUMMYFUNCTION("""COMPUTED_VALUE"""),0.6669791666666667)</f>
        <v>0.6669791667</v>
      </c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12">
        <v>3.55</v>
      </c>
      <c r="B721" s="12">
        <v>227.5</v>
      </c>
      <c r="C721" s="12">
        <v>511.8</v>
      </c>
      <c r="D721" s="12">
        <v>3.69</v>
      </c>
      <c r="E721" s="12">
        <v>0.63</v>
      </c>
      <c r="F721" s="12">
        <v>50.0</v>
      </c>
      <c r="G721" s="13">
        <v>44462.66707924768</v>
      </c>
      <c r="H721" s="14">
        <f>IFERROR(__xludf.DUMMYFUNCTION("SPLIT(G721, "", "")"),44462.0)</f>
        <v>44462</v>
      </c>
      <c r="I721" s="15">
        <f>IFERROR(__xludf.DUMMYFUNCTION("""COMPUTED_VALUE"""),0.6670833333333334)</f>
        <v>0.6670833333</v>
      </c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12">
        <v>3.55</v>
      </c>
      <c r="B722" s="12">
        <v>227.5</v>
      </c>
      <c r="C722" s="12">
        <v>511.9</v>
      </c>
      <c r="D722" s="12">
        <v>3.69</v>
      </c>
      <c r="E722" s="12">
        <v>0.63</v>
      </c>
      <c r="F722" s="12">
        <v>50.0</v>
      </c>
      <c r="G722" s="13">
        <v>44462.66718207176</v>
      </c>
      <c r="H722" s="14">
        <f>IFERROR(__xludf.DUMMYFUNCTION("SPLIT(G722, "", "")"),44462.0)</f>
        <v>44462</v>
      </c>
      <c r="I722" s="15">
        <f>IFERROR(__xludf.DUMMYFUNCTION("""COMPUTED_VALUE"""),0.6671875)</f>
        <v>0.6671875</v>
      </c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12">
        <v>3.55</v>
      </c>
      <c r="B723" s="12">
        <v>227.4</v>
      </c>
      <c r="C723" s="12">
        <v>511.9</v>
      </c>
      <c r="D723" s="12">
        <v>3.69</v>
      </c>
      <c r="E723" s="12">
        <v>0.63</v>
      </c>
      <c r="F723" s="12">
        <v>50.0</v>
      </c>
      <c r="G723" s="13">
        <v>44462.667284027775</v>
      </c>
      <c r="H723" s="14">
        <f>IFERROR(__xludf.DUMMYFUNCTION("SPLIT(G723, "", "")"),44462.0)</f>
        <v>44462</v>
      </c>
      <c r="I723" s="15">
        <f>IFERROR(__xludf.DUMMYFUNCTION("""COMPUTED_VALUE"""),0.6672800925925926)</f>
        <v>0.6672800926</v>
      </c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12">
        <v>3.55</v>
      </c>
      <c r="B724" s="12">
        <v>227.2</v>
      </c>
      <c r="C724" s="12">
        <v>511.9</v>
      </c>
      <c r="D724" s="12">
        <v>3.69</v>
      </c>
      <c r="E724" s="12">
        <v>0.63</v>
      </c>
      <c r="F724" s="12">
        <v>50.0</v>
      </c>
      <c r="G724" s="13">
        <v>44462.66738568287</v>
      </c>
      <c r="H724" s="14">
        <f>IFERROR(__xludf.DUMMYFUNCTION("SPLIT(G724, "", "")"),44462.0)</f>
        <v>44462</v>
      </c>
      <c r="I724" s="15">
        <f>IFERROR(__xludf.DUMMYFUNCTION("""COMPUTED_VALUE"""),0.6673842592592593)</f>
        <v>0.6673842593</v>
      </c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12">
        <v>3.55</v>
      </c>
      <c r="B725" s="12">
        <v>227.3</v>
      </c>
      <c r="C725" s="12">
        <v>512.0</v>
      </c>
      <c r="D725" s="12">
        <v>3.69</v>
      </c>
      <c r="E725" s="12">
        <v>0.63</v>
      </c>
      <c r="F725" s="12">
        <v>50.0</v>
      </c>
      <c r="G725" s="13">
        <v>44462.66748614583</v>
      </c>
      <c r="H725" s="14">
        <f>IFERROR(__xludf.DUMMYFUNCTION("SPLIT(G725, "", "")"),44462.0)</f>
        <v>44462</v>
      </c>
      <c r="I725" s="15">
        <f>IFERROR(__xludf.DUMMYFUNCTION("""COMPUTED_VALUE"""),0.6674884259259259)</f>
        <v>0.6674884259</v>
      </c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12">
        <v>3.56</v>
      </c>
      <c r="B726" s="12">
        <v>227.0</v>
      </c>
      <c r="C726" s="12">
        <v>512.0</v>
      </c>
      <c r="D726" s="12">
        <v>3.7</v>
      </c>
      <c r="E726" s="12">
        <v>0.63</v>
      </c>
      <c r="F726" s="12">
        <v>49.9</v>
      </c>
      <c r="G726" s="13">
        <v>44462.66758565972</v>
      </c>
      <c r="H726" s="14">
        <f>IFERROR(__xludf.DUMMYFUNCTION("SPLIT(G726, "", "")"),44462.0)</f>
        <v>44462</v>
      </c>
      <c r="I726" s="15">
        <f>IFERROR(__xludf.DUMMYFUNCTION("""COMPUTED_VALUE"""),0.6675810185185185)</f>
        <v>0.6675810185</v>
      </c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12">
        <v>3.56</v>
      </c>
      <c r="B727" s="12">
        <v>227.1</v>
      </c>
      <c r="C727" s="12">
        <v>512.0</v>
      </c>
      <c r="D727" s="12">
        <v>3.7</v>
      </c>
      <c r="E727" s="12">
        <v>0.63</v>
      </c>
      <c r="F727" s="12">
        <v>50.0</v>
      </c>
      <c r="G727" s="13">
        <v>44462.66768623843</v>
      </c>
      <c r="H727" s="14">
        <f>IFERROR(__xludf.DUMMYFUNCTION("SPLIT(G727, "", "")"),44462.0)</f>
        <v>44462</v>
      </c>
      <c r="I727" s="15">
        <f>IFERROR(__xludf.DUMMYFUNCTION("""COMPUTED_VALUE"""),0.6676851851851852)</f>
        <v>0.6676851852</v>
      </c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12">
        <v>3.56</v>
      </c>
      <c r="B728" s="12">
        <v>227.0</v>
      </c>
      <c r="C728" s="12">
        <v>512.1</v>
      </c>
      <c r="D728" s="12">
        <v>3.7</v>
      </c>
      <c r="E728" s="12">
        <v>0.63</v>
      </c>
      <c r="F728" s="12">
        <v>49.9</v>
      </c>
      <c r="G728" s="13">
        <v>44462.66779259259</v>
      </c>
      <c r="H728" s="14">
        <f>IFERROR(__xludf.DUMMYFUNCTION("SPLIT(G728, "", "")"),44462.0)</f>
        <v>44462</v>
      </c>
      <c r="I728" s="15">
        <f>IFERROR(__xludf.DUMMYFUNCTION("""COMPUTED_VALUE"""),0.6677893518518518)</f>
        <v>0.6677893519</v>
      </c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12">
        <v>3.56</v>
      </c>
      <c r="B729" s="12">
        <v>227.1</v>
      </c>
      <c r="C729" s="12">
        <v>512.1</v>
      </c>
      <c r="D729" s="12">
        <v>3.7</v>
      </c>
      <c r="E729" s="12">
        <v>0.63</v>
      </c>
      <c r="F729" s="12">
        <v>49.9</v>
      </c>
      <c r="G729" s="13">
        <v>44462.667899409724</v>
      </c>
      <c r="H729" s="14">
        <f>IFERROR(__xludf.DUMMYFUNCTION("SPLIT(G729, "", "")"),44462.0)</f>
        <v>44462</v>
      </c>
      <c r="I729" s="15">
        <f>IFERROR(__xludf.DUMMYFUNCTION("""COMPUTED_VALUE"""),0.6679050925925926)</f>
        <v>0.6679050926</v>
      </c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12">
        <v>3.56</v>
      </c>
      <c r="B730" s="12">
        <v>227.0</v>
      </c>
      <c r="C730" s="12">
        <v>512.2</v>
      </c>
      <c r="D730" s="12">
        <v>3.7</v>
      </c>
      <c r="E730" s="12">
        <v>0.63</v>
      </c>
      <c r="F730" s="12">
        <v>49.9</v>
      </c>
      <c r="G730" s="13">
        <v>44462.66800173611</v>
      </c>
      <c r="H730" s="14">
        <f>IFERROR(__xludf.DUMMYFUNCTION("SPLIT(G730, "", "")"),44462.0)</f>
        <v>44462</v>
      </c>
      <c r="I730" s="15">
        <f>IFERROR(__xludf.DUMMYFUNCTION("""COMPUTED_VALUE"""),0.6679976851851852)</f>
        <v>0.6679976852</v>
      </c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12">
        <v>3.56</v>
      </c>
      <c r="B731" s="12">
        <v>227.0</v>
      </c>
      <c r="C731" s="12">
        <v>512.2</v>
      </c>
      <c r="D731" s="12">
        <v>3.7</v>
      </c>
      <c r="E731" s="12">
        <v>0.63</v>
      </c>
      <c r="F731" s="12">
        <v>49.9</v>
      </c>
      <c r="G731" s="13">
        <v>44462.66810185185</v>
      </c>
      <c r="H731" s="14">
        <f>IFERROR(__xludf.DUMMYFUNCTION("SPLIT(G731, "", "")"),44462.0)</f>
        <v>44462</v>
      </c>
      <c r="I731" s="15">
        <f>IFERROR(__xludf.DUMMYFUNCTION("""COMPUTED_VALUE"""),0.6681018518518519)</f>
        <v>0.6681018519</v>
      </c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12">
        <v>3.57</v>
      </c>
      <c r="B732" s="12">
        <v>227.0</v>
      </c>
      <c r="C732" s="12">
        <v>512.4</v>
      </c>
      <c r="D732" s="12">
        <v>3.7</v>
      </c>
      <c r="E732" s="12">
        <v>0.63</v>
      </c>
      <c r="F732" s="12">
        <v>50.0</v>
      </c>
      <c r="G732" s="13">
        <v>44462.66820359953</v>
      </c>
      <c r="H732" s="14">
        <f>IFERROR(__xludf.DUMMYFUNCTION("SPLIT(G732, "", "")"),44462.0)</f>
        <v>44462</v>
      </c>
      <c r="I732" s="15">
        <f>IFERROR(__xludf.DUMMYFUNCTION("""COMPUTED_VALUE"""),0.6682060185185185)</f>
        <v>0.6682060185</v>
      </c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12">
        <v>3.56</v>
      </c>
      <c r="B733" s="12">
        <v>227.1</v>
      </c>
      <c r="C733" s="12">
        <v>512.4</v>
      </c>
      <c r="D733" s="12">
        <v>3.7</v>
      </c>
      <c r="E733" s="12">
        <v>0.63</v>
      </c>
      <c r="F733" s="12">
        <v>50.0</v>
      </c>
      <c r="G733" s="13">
        <v>44462.66830909722</v>
      </c>
      <c r="H733" s="14">
        <f>IFERROR(__xludf.DUMMYFUNCTION("SPLIT(G733, "", "")"),44462.0)</f>
        <v>44462</v>
      </c>
      <c r="I733" s="15">
        <f>IFERROR(__xludf.DUMMYFUNCTION("""COMPUTED_VALUE"""),0.6683101851851851)</f>
        <v>0.6683101852</v>
      </c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12">
        <v>3.56</v>
      </c>
      <c r="B734" s="12">
        <v>227.3</v>
      </c>
      <c r="C734" s="12">
        <v>512.4</v>
      </c>
      <c r="D734" s="12">
        <v>3.71</v>
      </c>
      <c r="E734" s="12">
        <v>0.63</v>
      </c>
      <c r="F734" s="12">
        <v>50.0</v>
      </c>
      <c r="G734" s="13">
        <v>44462.668411273145</v>
      </c>
      <c r="H734" s="14">
        <f>IFERROR(__xludf.DUMMYFUNCTION("SPLIT(G734, "", "")"),44462.0)</f>
        <v>44462</v>
      </c>
      <c r="I734" s="15">
        <f>IFERROR(__xludf.DUMMYFUNCTION("""COMPUTED_VALUE"""),0.6684143518518518)</f>
        <v>0.6684143519</v>
      </c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12">
        <v>3.57</v>
      </c>
      <c r="B735" s="12">
        <v>227.2</v>
      </c>
      <c r="C735" s="12">
        <v>512.6</v>
      </c>
      <c r="D735" s="12">
        <v>3.71</v>
      </c>
      <c r="E735" s="12">
        <v>0.63</v>
      </c>
      <c r="F735" s="12">
        <v>50.0</v>
      </c>
      <c r="G735" s="13">
        <v>44462.66851351852</v>
      </c>
      <c r="H735" s="14">
        <f>IFERROR(__xludf.DUMMYFUNCTION("SPLIT(G735, "", "")"),44462.0)</f>
        <v>44462</v>
      </c>
      <c r="I735" s="15">
        <f>IFERROR(__xludf.DUMMYFUNCTION("""COMPUTED_VALUE"""),0.6685185185185185)</f>
        <v>0.6685185185</v>
      </c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12">
        <v>3.57</v>
      </c>
      <c r="B736" s="12">
        <v>227.1</v>
      </c>
      <c r="C736" s="12">
        <v>512.6</v>
      </c>
      <c r="D736" s="12">
        <v>3.71</v>
      </c>
      <c r="E736" s="12">
        <v>0.63</v>
      </c>
      <c r="F736" s="12">
        <v>50.0</v>
      </c>
      <c r="G736" s="13">
        <v>44462.668620509256</v>
      </c>
      <c r="H736" s="14">
        <f>IFERROR(__xludf.DUMMYFUNCTION("SPLIT(G736, "", "")"),44462.0)</f>
        <v>44462</v>
      </c>
      <c r="I736" s="15">
        <f>IFERROR(__xludf.DUMMYFUNCTION("""COMPUTED_VALUE"""),0.6686226851851852)</f>
        <v>0.6686226852</v>
      </c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12">
        <v>3.57</v>
      </c>
      <c r="B737" s="12">
        <v>227.1</v>
      </c>
      <c r="C737" s="12">
        <v>512.7</v>
      </c>
      <c r="D737" s="12">
        <v>3.71</v>
      </c>
      <c r="E737" s="12">
        <v>0.63</v>
      </c>
      <c r="F737" s="12">
        <v>50.0</v>
      </c>
      <c r="G737" s="13">
        <v>44462.66872760416</v>
      </c>
      <c r="H737" s="14">
        <f>IFERROR(__xludf.DUMMYFUNCTION("SPLIT(G737, "", "")"),44462.0)</f>
        <v>44462</v>
      </c>
      <c r="I737" s="15">
        <f>IFERROR(__xludf.DUMMYFUNCTION("""COMPUTED_VALUE"""),0.6687268518518519)</f>
        <v>0.6687268519</v>
      </c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12">
        <v>3.56</v>
      </c>
      <c r="B738" s="12">
        <v>227.4</v>
      </c>
      <c r="C738" s="12">
        <v>512.7</v>
      </c>
      <c r="D738" s="12">
        <v>3.71</v>
      </c>
      <c r="E738" s="12">
        <v>0.63</v>
      </c>
      <c r="F738" s="12">
        <v>50.0</v>
      </c>
      <c r="G738" s="13">
        <v>44462.66883494213</v>
      </c>
      <c r="H738" s="14">
        <f>IFERROR(__xludf.DUMMYFUNCTION("SPLIT(G738, "", "")"),44462.0)</f>
        <v>44462</v>
      </c>
      <c r="I738" s="15">
        <f>IFERROR(__xludf.DUMMYFUNCTION("""COMPUTED_VALUE"""),0.6688310185185186)</f>
        <v>0.6688310185</v>
      </c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12">
        <v>3.56</v>
      </c>
      <c r="B739" s="12">
        <v>227.5</v>
      </c>
      <c r="C739" s="12">
        <v>512.8</v>
      </c>
      <c r="D739" s="12">
        <v>3.71</v>
      </c>
      <c r="E739" s="12">
        <v>0.63</v>
      </c>
      <c r="F739" s="12">
        <v>50.0</v>
      </c>
      <c r="G739" s="13">
        <v>44462.66893768519</v>
      </c>
      <c r="H739" s="14">
        <f>IFERROR(__xludf.DUMMYFUNCTION("SPLIT(G739, "", "")"),44462.0)</f>
        <v>44462</v>
      </c>
      <c r="I739" s="15">
        <f>IFERROR(__xludf.DUMMYFUNCTION("""COMPUTED_VALUE"""),0.6689351851851851)</f>
        <v>0.6689351852</v>
      </c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12">
        <v>3.56</v>
      </c>
      <c r="B740" s="12">
        <v>227.4</v>
      </c>
      <c r="C740" s="12">
        <v>512.8</v>
      </c>
      <c r="D740" s="12">
        <v>3.71</v>
      </c>
      <c r="E740" s="12">
        <v>0.63</v>
      </c>
      <c r="F740" s="12">
        <v>50.0</v>
      </c>
      <c r="G740" s="13">
        <v>44462.66903954861</v>
      </c>
      <c r="H740" s="14">
        <f>IFERROR(__xludf.DUMMYFUNCTION("SPLIT(G740, "", "")"),44462.0)</f>
        <v>44462</v>
      </c>
      <c r="I740" s="15">
        <f>IFERROR(__xludf.DUMMYFUNCTION("""COMPUTED_VALUE"""),0.6690393518518518)</f>
        <v>0.6690393519</v>
      </c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12">
        <v>3.56</v>
      </c>
      <c r="B741" s="12">
        <v>227.4</v>
      </c>
      <c r="C741" s="12">
        <v>512.9</v>
      </c>
      <c r="D741" s="12">
        <v>3.71</v>
      </c>
      <c r="E741" s="12">
        <v>0.63</v>
      </c>
      <c r="F741" s="12">
        <v>50.0</v>
      </c>
      <c r="G741" s="13">
        <v>44462.66913996528</v>
      </c>
      <c r="H741" s="14">
        <f>IFERROR(__xludf.DUMMYFUNCTION("SPLIT(G741, "", "")"),44462.0)</f>
        <v>44462</v>
      </c>
      <c r="I741" s="15">
        <f>IFERROR(__xludf.DUMMYFUNCTION("""COMPUTED_VALUE"""),0.6691435185185185)</f>
        <v>0.6691435185</v>
      </c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12">
        <v>3.56</v>
      </c>
      <c r="B742" s="12">
        <v>227.3</v>
      </c>
      <c r="C742" s="12">
        <v>512.9</v>
      </c>
      <c r="D742" s="12">
        <v>3.72</v>
      </c>
      <c r="E742" s="12">
        <v>0.63</v>
      </c>
      <c r="F742" s="12">
        <v>50.0</v>
      </c>
      <c r="G742" s="13">
        <v>44462.66925486111</v>
      </c>
      <c r="H742" s="14">
        <f>IFERROR(__xludf.DUMMYFUNCTION("SPLIT(G742, "", "")"),44462.0)</f>
        <v>44462</v>
      </c>
      <c r="I742" s="15">
        <f>IFERROR(__xludf.DUMMYFUNCTION("""COMPUTED_VALUE"""),0.6692592592592592)</f>
        <v>0.6692592593</v>
      </c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12">
        <v>3.58</v>
      </c>
      <c r="B743" s="12">
        <v>227.2</v>
      </c>
      <c r="C743" s="12">
        <v>513.0</v>
      </c>
      <c r="D743" s="12">
        <v>3.72</v>
      </c>
      <c r="E743" s="12">
        <v>0.63</v>
      </c>
      <c r="F743" s="12">
        <v>50.0</v>
      </c>
      <c r="G743" s="13">
        <v>44462.66937809028</v>
      </c>
      <c r="H743" s="14">
        <f>IFERROR(__xludf.DUMMYFUNCTION("SPLIT(G743, "", "")"),44462.0)</f>
        <v>44462</v>
      </c>
      <c r="I743" s="15">
        <f>IFERROR(__xludf.DUMMYFUNCTION("""COMPUTED_VALUE"""),0.669375)</f>
        <v>0.669375</v>
      </c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12">
        <v>3.57</v>
      </c>
      <c r="B744" s="12">
        <v>227.2</v>
      </c>
      <c r="C744" s="12">
        <v>513.0</v>
      </c>
      <c r="D744" s="12">
        <v>3.72</v>
      </c>
      <c r="E744" s="12">
        <v>0.63</v>
      </c>
      <c r="F744" s="12">
        <v>49.9</v>
      </c>
      <c r="G744" s="13">
        <v>44462.669481053235</v>
      </c>
      <c r="H744" s="14">
        <f>IFERROR(__xludf.DUMMYFUNCTION("SPLIT(G744, "", "")"),44462.0)</f>
        <v>44462</v>
      </c>
      <c r="I744" s="15">
        <f>IFERROR(__xludf.DUMMYFUNCTION("""COMPUTED_VALUE"""),0.6694791666666666)</f>
        <v>0.6694791667</v>
      </c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12">
        <v>3.57</v>
      </c>
      <c r="B745" s="12">
        <v>227.3</v>
      </c>
      <c r="C745" s="12">
        <v>513.1</v>
      </c>
      <c r="D745" s="12">
        <v>3.72</v>
      </c>
      <c r="E745" s="12">
        <v>0.63</v>
      </c>
      <c r="F745" s="12">
        <v>49.9</v>
      </c>
      <c r="G745" s="13">
        <v>44462.6695877662</v>
      </c>
      <c r="H745" s="14">
        <f>IFERROR(__xludf.DUMMYFUNCTION("SPLIT(G745, "", "")"),44462.0)</f>
        <v>44462</v>
      </c>
      <c r="I745" s="15">
        <f>IFERROR(__xludf.DUMMYFUNCTION("""COMPUTED_VALUE"""),0.6695833333333333)</f>
        <v>0.6695833333</v>
      </c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12">
        <v>3.57</v>
      </c>
      <c r="B746" s="12">
        <v>227.4</v>
      </c>
      <c r="C746" s="12">
        <v>513.1</v>
      </c>
      <c r="D746" s="12">
        <v>3.72</v>
      </c>
      <c r="E746" s="12">
        <v>0.63</v>
      </c>
      <c r="F746" s="12">
        <v>49.9</v>
      </c>
      <c r="G746" s="13">
        <v>44462.66969407407</v>
      </c>
      <c r="H746" s="14">
        <f>IFERROR(__xludf.DUMMYFUNCTION("SPLIT(G746, "", "")"),44462.0)</f>
        <v>44462</v>
      </c>
      <c r="I746" s="15">
        <f>IFERROR(__xludf.DUMMYFUNCTION("""COMPUTED_VALUE"""),0.669699074074074)</f>
        <v>0.6696990741</v>
      </c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12">
        <v>3.56</v>
      </c>
      <c r="B747" s="12">
        <v>227.5</v>
      </c>
      <c r="C747" s="12">
        <v>513.2</v>
      </c>
      <c r="D747" s="12">
        <v>3.72</v>
      </c>
      <c r="E747" s="12">
        <v>0.63</v>
      </c>
      <c r="F747" s="12">
        <v>49.9</v>
      </c>
      <c r="G747" s="13">
        <v>44462.66979940972</v>
      </c>
      <c r="H747" s="14">
        <f>IFERROR(__xludf.DUMMYFUNCTION("SPLIT(G747, "", "")"),44462.0)</f>
        <v>44462</v>
      </c>
      <c r="I747" s="15">
        <f>IFERROR(__xludf.DUMMYFUNCTION("""COMPUTED_VALUE"""),0.6698032407407407)</f>
        <v>0.6698032407</v>
      </c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12">
        <v>3.56</v>
      </c>
      <c r="B748" s="12">
        <v>227.4</v>
      </c>
      <c r="C748" s="12">
        <v>513.2</v>
      </c>
      <c r="D748" s="12">
        <v>3.72</v>
      </c>
      <c r="E748" s="12">
        <v>0.63</v>
      </c>
      <c r="F748" s="12">
        <v>49.9</v>
      </c>
      <c r="G748" s="13">
        <v>44462.669902650465</v>
      </c>
      <c r="H748" s="14">
        <f>IFERROR(__xludf.DUMMYFUNCTION("SPLIT(G748, "", "")"),44462.0)</f>
        <v>44462</v>
      </c>
      <c r="I748" s="15">
        <f>IFERROR(__xludf.DUMMYFUNCTION("""COMPUTED_VALUE"""),0.6699074074074074)</f>
        <v>0.6699074074</v>
      </c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12">
        <v>3.56</v>
      </c>
      <c r="B749" s="12">
        <v>227.4</v>
      </c>
      <c r="C749" s="12">
        <v>513.3</v>
      </c>
      <c r="D749" s="12">
        <v>3.73</v>
      </c>
      <c r="E749" s="12">
        <v>0.63</v>
      </c>
      <c r="F749" s="12">
        <v>49.9</v>
      </c>
      <c r="G749" s="13">
        <v>44462.67000857639</v>
      </c>
      <c r="H749" s="14">
        <f>IFERROR(__xludf.DUMMYFUNCTION("SPLIT(G749, "", "")"),44462.0)</f>
        <v>44462</v>
      </c>
      <c r="I749" s="15">
        <f>IFERROR(__xludf.DUMMYFUNCTION("""COMPUTED_VALUE"""),0.6700115740740741)</f>
        <v>0.6700115741</v>
      </c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12">
        <v>3.57</v>
      </c>
      <c r="B750" s="12">
        <v>227.5</v>
      </c>
      <c r="C750" s="12">
        <v>513.4</v>
      </c>
      <c r="D750" s="12">
        <v>3.73</v>
      </c>
      <c r="E750" s="12">
        <v>0.63</v>
      </c>
      <c r="F750" s="12">
        <v>49.9</v>
      </c>
      <c r="G750" s="13">
        <v>44462.67010606482</v>
      </c>
      <c r="H750" s="14">
        <f>IFERROR(__xludf.DUMMYFUNCTION("SPLIT(G750, "", "")"),44462.0)</f>
        <v>44462</v>
      </c>
      <c r="I750" s="15">
        <f>IFERROR(__xludf.DUMMYFUNCTION("""COMPUTED_VALUE"""),0.6701041666666666)</f>
        <v>0.6701041667</v>
      </c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12">
        <v>3.56</v>
      </c>
      <c r="B751" s="12">
        <v>227.6</v>
      </c>
      <c r="C751" s="12">
        <v>513.5</v>
      </c>
      <c r="D751" s="12">
        <v>3.73</v>
      </c>
      <c r="E751" s="12">
        <v>0.63</v>
      </c>
      <c r="F751" s="12">
        <v>50.0</v>
      </c>
      <c r="G751" s="13">
        <v>44462.670208854164</v>
      </c>
      <c r="H751" s="14">
        <f>IFERROR(__xludf.DUMMYFUNCTION("SPLIT(G751, "", "")"),44462.0)</f>
        <v>44462</v>
      </c>
      <c r="I751" s="15">
        <f>IFERROR(__xludf.DUMMYFUNCTION("""COMPUTED_VALUE"""),0.6702083333333333)</f>
        <v>0.6702083333</v>
      </c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12">
        <v>3.57</v>
      </c>
      <c r="B752" s="12">
        <v>227.7</v>
      </c>
      <c r="C752" s="12">
        <v>513.6</v>
      </c>
      <c r="D752" s="12">
        <v>3.73</v>
      </c>
      <c r="E752" s="12">
        <v>0.63</v>
      </c>
      <c r="F752" s="12">
        <v>50.0</v>
      </c>
      <c r="G752" s="13">
        <v>44462.67030951389</v>
      </c>
      <c r="H752" s="14">
        <f>IFERROR(__xludf.DUMMYFUNCTION("SPLIT(G752, "", "")"),44462.0)</f>
        <v>44462</v>
      </c>
      <c r="I752" s="15">
        <f>IFERROR(__xludf.DUMMYFUNCTION("""COMPUTED_VALUE"""),0.6703125)</f>
        <v>0.6703125</v>
      </c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12">
        <v>3.57</v>
      </c>
      <c r="B753" s="12">
        <v>227.8</v>
      </c>
      <c r="C753" s="12">
        <v>513.8</v>
      </c>
      <c r="D753" s="12">
        <v>3.73</v>
      </c>
      <c r="E753" s="12">
        <v>0.63</v>
      </c>
      <c r="F753" s="12">
        <v>50.0</v>
      </c>
      <c r="G753" s="13">
        <v>44462.67041121528</v>
      </c>
      <c r="H753" s="14">
        <f>IFERROR(__xludf.DUMMYFUNCTION("SPLIT(G753, "", "")"),44462.0)</f>
        <v>44462</v>
      </c>
      <c r="I753" s="15">
        <f>IFERROR(__xludf.DUMMYFUNCTION("""COMPUTED_VALUE"""),0.6704166666666667)</f>
        <v>0.6704166667</v>
      </c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12">
        <v>3.57</v>
      </c>
      <c r="B754" s="12">
        <v>227.8</v>
      </c>
      <c r="C754" s="12">
        <v>513.7</v>
      </c>
      <c r="D754" s="12">
        <v>3.73</v>
      </c>
      <c r="E754" s="12">
        <v>0.63</v>
      </c>
      <c r="F754" s="12">
        <v>50.0</v>
      </c>
      <c r="G754" s="13">
        <v>44462.670512743054</v>
      </c>
      <c r="H754" s="14">
        <f>IFERROR(__xludf.DUMMYFUNCTION("SPLIT(G754, "", "")"),44462.0)</f>
        <v>44462</v>
      </c>
      <c r="I754" s="15">
        <f>IFERROR(__xludf.DUMMYFUNCTION("""COMPUTED_VALUE"""),0.6705092592592593)</f>
        <v>0.6705092593</v>
      </c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12">
        <v>3.57</v>
      </c>
      <c r="B755" s="12">
        <v>227.7</v>
      </c>
      <c r="C755" s="12">
        <v>513.8</v>
      </c>
      <c r="D755" s="12">
        <v>3.73</v>
      </c>
      <c r="E755" s="12">
        <v>0.63</v>
      </c>
      <c r="F755" s="12">
        <v>50.0</v>
      </c>
      <c r="G755" s="13">
        <v>44462.67061631945</v>
      </c>
      <c r="H755" s="14">
        <f>IFERROR(__xludf.DUMMYFUNCTION("SPLIT(G755, "", "")"),44462.0)</f>
        <v>44462</v>
      </c>
      <c r="I755" s="15">
        <f>IFERROR(__xludf.DUMMYFUNCTION("""COMPUTED_VALUE"""),0.6706134259259259)</f>
        <v>0.6706134259</v>
      </c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12">
        <v>3.57</v>
      </c>
      <c r="B756" s="12">
        <v>227.7</v>
      </c>
      <c r="C756" s="12">
        <v>513.9</v>
      </c>
      <c r="D756" s="12">
        <v>3.73</v>
      </c>
      <c r="E756" s="12">
        <v>0.63</v>
      </c>
      <c r="F756" s="12">
        <v>50.0</v>
      </c>
      <c r="G756" s="13">
        <v>44462.67072332176</v>
      </c>
      <c r="H756" s="14">
        <f>IFERROR(__xludf.DUMMYFUNCTION("SPLIT(G756, "", "")"),44462.0)</f>
        <v>44462</v>
      </c>
      <c r="I756" s="15">
        <f>IFERROR(__xludf.DUMMYFUNCTION("""COMPUTED_VALUE"""),0.6707175925925926)</f>
        <v>0.6707175926</v>
      </c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12">
        <v>3.56</v>
      </c>
      <c r="B757" s="12">
        <v>227.8</v>
      </c>
      <c r="C757" s="12">
        <v>514.0</v>
      </c>
      <c r="D757" s="12">
        <v>3.74</v>
      </c>
      <c r="E757" s="12">
        <v>0.63</v>
      </c>
      <c r="F757" s="12">
        <v>50.0</v>
      </c>
      <c r="G757" s="13">
        <v>44462.67082929398</v>
      </c>
      <c r="H757" s="14">
        <f>IFERROR(__xludf.DUMMYFUNCTION("SPLIT(G757, "", "")"),44462.0)</f>
        <v>44462</v>
      </c>
      <c r="I757" s="15">
        <f>IFERROR(__xludf.DUMMYFUNCTION("""COMPUTED_VALUE"""),0.6708333333333333)</f>
        <v>0.6708333333</v>
      </c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12">
        <v>3.57</v>
      </c>
      <c r="B758" s="12">
        <v>227.6</v>
      </c>
      <c r="C758" s="12">
        <v>514.1</v>
      </c>
      <c r="D758" s="12">
        <v>3.74</v>
      </c>
      <c r="E758" s="12">
        <v>0.63</v>
      </c>
      <c r="F758" s="12">
        <v>50.0</v>
      </c>
      <c r="G758" s="13">
        <v>44462.670930520835</v>
      </c>
      <c r="H758" s="14">
        <f>IFERROR(__xludf.DUMMYFUNCTION("SPLIT(G758, "", "")"),44462.0)</f>
        <v>44462</v>
      </c>
      <c r="I758" s="15">
        <f>IFERROR(__xludf.DUMMYFUNCTION("""COMPUTED_VALUE"""),0.6709259259259259)</f>
        <v>0.6709259259</v>
      </c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12">
        <v>3.57</v>
      </c>
      <c r="B759" s="12">
        <v>227.6</v>
      </c>
      <c r="C759" s="12">
        <v>514.1</v>
      </c>
      <c r="D759" s="12">
        <v>3.74</v>
      </c>
      <c r="E759" s="12">
        <v>0.63</v>
      </c>
      <c r="F759" s="12">
        <v>50.0</v>
      </c>
      <c r="G759" s="13">
        <v>44462.67103074074</v>
      </c>
      <c r="H759" s="14">
        <f>IFERROR(__xludf.DUMMYFUNCTION("SPLIT(G759, "", "")"),44462.0)</f>
        <v>44462</v>
      </c>
      <c r="I759" s="15">
        <f>IFERROR(__xludf.DUMMYFUNCTION("""COMPUTED_VALUE"""),0.6710300925925926)</f>
        <v>0.6710300926</v>
      </c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12">
        <v>3.57</v>
      </c>
      <c r="B760" s="12">
        <v>227.6</v>
      </c>
      <c r="C760" s="12">
        <v>514.2</v>
      </c>
      <c r="D760" s="12">
        <v>3.74</v>
      </c>
      <c r="E760" s="12">
        <v>0.63</v>
      </c>
      <c r="F760" s="12">
        <v>50.0</v>
      </c>
      <c r="G760" s="13">
        <v>44462.671131006944</v>
      </c>
      <c r="H760" s="14">
        <f>IFERROR(__xludf.DUMMYFUNCTION("SPLIT(G760, "", "")"),44462.0)</f>
        <v>44462</v>
      </c>
      <c r="I760" s="15">
        <f>IFERROR(__xludf.DUMMYFUNCTION("""COMPUTED_VALUE"""),0.6711342592592593)</f>
        <v>0.6711342593</v>
      </c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12">
        <v>3.57</v>
      </c>
      <c r="B761" s="12">
        <v>227.5</v>
      </c>
      <c r="C761" s="12">
        <v>514.2</v>
      </c>
      <c r="D761" s="12">
        <v>3.74</v>
      </c>
      <c r="E761" s="12">
        <v>0.63</v>
      </c>
      <c r="F761" s="12">
        <v>49.9</v>
      </c>
      <c r="G761" s="13">
        <v>44462.671232395835</v>
      </c>
      <c r="H761" s="14">
        <f>IFERROR(__xludf.DUMMYFUNCTION("SPLIT(G761, "", "")"),44462.0)</f>
        <v>44462</v>
      </c>
      <c r="I761" s="15">
        <f>IFERROR(__xludf.DUMMYFUNCTION("""COMPUTED_VALUE"""),0.6712268518518518)</f>
        <v>0.6712268519</v>
      </c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12">
        <v>3.56</v>
      </c>
      <c r="B762" s="12">
        <v>227.5</v>
      </c>
      <c r="C762" s="12">
        <v>514.2</v>
      </c>
      <c r="D762" s="12">
        <v>3.74</v>
      </c>
      <c r="E762" s="12">
        <v>0.63</v>
      </c>
      <c r="F762" s="12">
        <v>49.9</v>
      </c>
      <c r="G762" s="13">
        <v>44462.67133385417</v>
      </c>
      <c r="H762" s="14">
        <f>IFERROR(__xludf.DUMMYFUNCTION("SPLIT(G762, "", "")"),44462.0)</f>
        <v>44462</v>
      </c>
      <c r="I762" s="15">
        <f>IFERROR(__xludf.DUMMYFUNCTION("""COMPUTED_VALUE"""),0.6713310185185185)</f>
        <v>0.6713310185</v>
      </c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12">
        <v>3.57</v>
      </c>
      <c r="B763" s="12">
        <v>227.4</v>
      </c>
      <c r="C763" s="12">
        <v>514.3</v>
      </c>
      <c r="D763" s="12">
        <v>3.74</v>
      </c>
      <c r="E763" s="12">
        <v>0.63</v>
      </c>
      <c r="F763" s="12">
        <v>49.9</v>
      </c>
      <c r="G763" s="13">
        <v>44462.67143017361</v>
      </c>
      <c r="H763" s="14">
        <f>IFERROR(__xludf.DUMMYFUNCTION("SPLIT(G763, "", "")"),44462.0)</f>
        <v>44462</v>
      </c>
      <c r="I763" s="15">
        <f>IFERROR(__xludf.DUMMYFUNCTION("""COMPUTED_VALUE"""),0.6714351851851852)</f>
        <v>0.6714351852</v>
      </c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12">
        <v>3.57</v>
      </c>
      <c r="B764" s="12">
        <v>227.4</v>
      </c>
      <c r="C764" s="12">
        <v>514.4</v>
      </c>
      <c r="D764" s="12">
        <v>3.74</v>
      </c>
      <c r="E764" s="12">
        <v>0.63</v>
      </c>
      <c r="F764" s="12">
        <v>50.0</v>
      </c>
      <c r="G764" s="13">
        <v>44462.67154122685</v>
      </c>
      <c r="H764" s="14">
        <f>IFERROR(__xludf.DUMMYFUNCTION("SPLIT(G764, "", "")"),44462.0)</f>
        <v>44462</v>
      </c>
      <c r="I764" s="15">
        <f>IFERROR(__xludf.DUMMYFUNCTION("""COMPUTED_VALUE"""),0.6715393518518519)</f>
        <v>0.6715393519</v>
      </c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12">
        <v>3.58</v>
      </c>
      <c r="B765" s="12">
        <v>227.4</v>
      </c>
      <c r="C765" s="12">
        <v>514.5</v>
      </c>
      <c r="D765" s="12">
        <v>3.75</v>
      </c>
      <c r="E765" s="12">
        <v>0.63</v>
      </c>
      <c r="F765" s="12">
        <v>50.0</v>
      </c>
      <c r="G765" s="13">
        <v>44462.67164960648</v>
      </c>
      <c r="H765" s="14">
        <f>IFERROR(__xludf.DUMMYFUNCTION("SPLIT(G765, "", "")"),44462.0)</f>
        <v>44462</v>
      </c>
      <c r="I765" s="15">
        <f>IFERROR(__xludf.DUMMYFUNCTION("""COMPUTED_VALUE"""),0.6716550925925926)</f>
        <v>0.6716550926</v>
      </c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12">
        <v>3.57</v>
      </c>
      <c r="B766" s="12">
        <v>227.4</v>
      </c>
      <c r="C766" s="12">
        <v>514.5</v>
      </c>
      <c r="D766" s="12">
        <v>3.75</v>
      </c>
      <c r="E766" s="12">
        <v>0.63</v>
      </c>
      <c r="F766" s="12">
        <v>49.9</v>
      </c>
      <c r="G766" s="13">
        <v>44462.67175100694</v>
      </c>
      <c r="H766" s="14">
        <f>IFERROR(__xludf.DUMMYFUNCTION("SPLIT(G766, "", "")"),44462.0)</f>
        <v>44462</v>
      </c>
      <c r="I766" s="15">
        <f>IFERROR(__xludf.DUMMYFUNCTION("""COMPUTED_VALUE"""),0.6717476851851852)</f>
        <v>0.6717476852</v>
      </c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12">
        <v>3.57</v>
      </c>
      <c r="B767" s="12">
        <v>227.3</v>
      </c>
      <c r="C767" s="12">
        <v>514.5</v>
      </c>
      <c r="D767" s="12">
        <v>3.75</v>
      </c>
      <c r="E767" s="12">
        <v>0.63</v>
      </c>
      <c r="F767" s="12">
        <v>49.9</v>
      </c>
      <c r="G767" s="13">
        <v>44462.671849652776</v>
      </c>
      <c r="H767" s="14">
        <f>IFERROR(__xludf.DUMMYFUNCTION("SPLIT(G767, "", "")"),44462.0)</f>
        <v>44462</v>
      </c>
      <c r="I767" s="15">
        <f>IFERROR(__xludf.DUMMYFUNCTION("""COMPUTED_VALUE"""),0.6718518518518518)</f>
        <v>0.6718518519</v>
      </c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12">
        <v>3.57</v>
      </c>
      <c r="B768" s="12">
        <v>227.6</v>
      </c>
      <c r="C768" s="12">
        <v>514.6</v>
      </c>
      <c r="D768" s="12">
        <v>3.75</v>
      </c>
      <c r="E768" s="12">
        <v>0.63</v>
      </c>
      <c r="F768" s="12">
        <v>50.0</v>
      </c>
      <c r="G768" s="13">
        <v>44462.67194961806</v>
      </c>
      <c r="H768" s="14">
        <f>IFERROR(__xludf.DUMMYFUNCTION("SPLIT(G768, "", "")"),44462.0)</f>
        <v>44462</v>
      </c>
      <c r="I768" s="15">
        <f>IFERROR(__xludf.DUMMYFUNCTION("""COMPUTED_VALUE"""),0.6719444444444445)</f>
        <v>0.6719444444</v>
      </c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12">
        <v>3.57</v>
      </c>
      <c r="B769" s="12">
        <v>227.7</v>
      </c>
      <c r="C769" s="12">
        <v>514.7</v>
      </c>
      <c r="D769" s="12">
        <v>3.75</v>
      </c>
      <c r="E769" s="12">
        <v>0.63</v>
      </c>
      <c r="F769" s="12">
        <v>50.0</v>
      </c>
      <c r="G769" s="13">
        <v>44462.67205177083</v>
      </c>
      <c r="H769" s="14">
        <f>IFERROR(__xludf.DUMMYFUNCTION("SPLIT(G769, "", "")"),44462.0)</f>
        <v>44462</v>
      </c>
      <c r="I769" s="15">
        <f>IFERROR(__xludf.DUMMYFUNCTION("""COMPUTED_VALUE"""),0.6720486111111111)</f>
        <v>0.6720486111</v>
      </c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12">
        <v>3.57</v>
      </c>
      <c r="B770" s="12">
        <v>227.7</v>
      </c>
      <c r="C770" s="12">
        <v>514.8</v>
      </c>
      <c r="D770" s="12">
        <v>3.75</v>
      </c>
      <c r="E770" s="12">
        <v>0.63</v>
      </c>
      <c r="F770" s="12">
        <v>50.0</v>
      </c>
      <c r="G770" s="13">
        <v>44462.67216209491</v>
      </c>
      <c r="H770" s="14">
        <f>IFERROR(__xludf.DUMMYFUNCTION("SPLIT(G770, "", "")"),44462.0)</f>
        <v>44462</v>
      </c>
      <c r="I770" s="15">
        <f>IFERROR(__xludf.DUMMYFUNCTION("""COMPUTED_VALUE"""),0.6721643518518519)</f>
        <v>0.6721643519</v>
      </c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12">
        <v>3.58</v>
      </c>
      <c r="B771" s="12">
        <v>227.8</v>
      </c>
      <c r="C771" s="12">
        <v>515.0</v>
      </c>
      <c r="D771" s="12">
        <v>3.75</v>
      </c>
      <c r="E771" s="12">
        <v>0.63</v>
      </c>
      <c r="F771" s="12">
        <v>50.0</v>
      </c>
      <c r="G771" s="13">
        <v>44462.67226532407</v>
      </c>
      <c r="H771" s="14">
        <f>IFERROR(__xludf.DUMMYFUNCTION("SPLIT(G771, "", "")"),44462.0)</f>
        <v>44462</v>
      </c>
      <c r="I771" s="15">
        <f>IFERROR(__xludf.DUMMYFUNCTION("""COMPUTED_VALUE"""),0.6722685185185185)</f>
        <v>0.6722685185</v>
      </c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12">
        <v>3.58</v>
      </c>
      <c r="B772" s="12">
        <v>227.8</v>
      </c>
      <c r="C772" s="12">
        <v>515.1</v>
      </c>
      <c r="D772" s="12">
        <v>3.76</v>
      </c>
      <c r="E772" s="12">
        <v>0.63</v>
      </c>
      <c r="F772" s="12">
        <v>50.0</v>
      </c>
      <c r="G772" s="13">
        <v>44462.67236709491</v>
      </c>
      <c r="H772" s="14">
        <f>IFERROR(__xludf.DUMMYFUNCTION("SPLIT(G772, "", "")"),44462.0)</f>
        <v>44462</v>
      </c>
      <c r="I772" s="15">
        <f>IFERROR(__xludf.DUMMYFUNCTION("""COMPUTED_VALUE"""),0.6723726851851852)</f>
        <v>0.6723726852</v>
      </c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12">
        <v>3.57</v>
      </c>
      <c r="B773" s="12">
        <v>227.9</v>
      </c>
      <c r="C773" s="12">
        <v>515.1</v>
      </c>
      <c r="D773" s="12">
        <v>3.76</v>
      </c>
      <c r="E773" s="12">
        <v>0.63</v>
      </c>
      <c r="F773" s="12">
        <v>50.0</v>
      </c>
      <c r="G773" s="13">
        <v>44462.672466585645</v>
      </c>
      <c r="H773" s="14">
        <f>IFERROR(__xludf.DUMMYFUNCTION("SPLIT(G773, "", "")"),44462.0)</f>
        <v>44462</v>
      </c>
      <c r="I773" s="15">
        <f>IFERROR(__xludf.DUMMYFUNCTION("""COMPUTED_VALUE"""),0.6724652777777778)</f>
        <v>0.6724652778</v>
      </c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12">
        <v>3.57</v>
      </c>
      <c r="B774" s="12">
        <v>227.8</v>
      </c>
      <c r="C774" s="12">
        <v>515.2</v>
      </c>
      <c r="D774" s="12">
        <v>3.76</v>
      </c>
      <c r="E774" s="12">
        <v>0.63</v>
      </c>
      <c r="F774" s="12">
        <v>50.0</v>
      </c>
      <c r="G774" s="13">
        <v>44462.672573449076</v>
      </c>
      <c r="H774" s="14">
        <f>IFERROR(__xludf.DUMMYFUNCTION("SPLIT(G774, "", "")"),44462.0)</f>
        <v>44462</v>
      </c>
      <c r="I774" s="15">
        <f>IFERROR(__xludf.DUMMYFUNCTION("""COMPUTED_VALUE"""),0.6725694444444444)</f>
        <v>0.6725694444</v>
      </c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12">
        <v>3.57</v>
      </c>
      <c r="B775" s="12">
        <v>227.8</v>
      </c>
      <c r="C775" s="12">
        <v>515.2</v>
      </c>
      <c r="D775" s="12">
        <v>3.76</v>
      </c>
      <c r="E775" s="12">
        <v>0.63</v>
      </c>
      <c r="F775" s="12">
        <v>50.0</v>
      </c>
      <c r="G775" s="13">
        <v>44462.672674953705</v>
      </c>
      <c r="H775" s="14">
        <f>IFERROR(__xludf.DUMMYFUNCTION("SPLIT(G775, "", "")"),44462.0)</f>
        <v>44462</v>
      </c>
      <c r="I775" s="15">
        <f>IFERROR(__xludf.DUMMYFUNCTION("""COMPUTED_VALUE"""),0.6726736111111111)</f>
        <v>0.6726736111</v>
      </c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12">
        <v>3.58</v>
      </c>
      <c r="B776" s="12">
        <v>227.6</v>
      </c>
      <c r="C776" s="12">
        <v>515.3</v>
      </c>
      <c r="D776" s="12">
        <v>3.76</v>
      </c>
      <c r="E776" s="12">
        <v>0.63</v>
      </c>
      <c r="F776" s="12">
        <v>50.0</v>
      </c>
      <c r="G776" s="13">
        <v>44462.67277638889</v>
      </c>
      <c r="H776" s="14">
        <f>IFERROR(__xludf.DUMMYFUNCTION("SPLIT(G776, "", "")"),44462.0)</f>
        <v>44462</v>
      </c>
      <c r="I776" s="15">
        <f>IFERROR(__xludf.DUMMYFUNCTION("""COMPUTED_VALUE"""),0.6727777777777778)</f>
        <v>0.6727777778</v>
      </c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12">
        <v>3.58</v>
      </c>
      <c r="B777" s="12">
        <v>227.7</v>
      </c>
      <c r="C777" s="12">
        <v>515.4</v>
      </c>
      <c r="D777" s="12">
        <v>3.76</v>
      </c>
      <c r="E777" s="12">
        <v>0.63</v>
      </c>
      <c r="F777" s="12">
        <v>50.0</v>
      </c>
      <c r="G777" s="13">
        <v>44462.672876956014</v>
      </c>
      <c r="H777" s="14">
        <f>IFERROR(__xludf.DUMMYFUNCTION("SPLIT(G777, "", "")"),44462.0)</f>
        <v>44462</v>
      </c>
      <c r="I777" s="15">
        <f>IFERROR(__xludf.DUMMYFUNCTION("""COMPUTED_VALUE"""),0.6728819444444445)</f>
        <v>0.6728819444</v>
      </c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12">
        <v>3.57</v>
      </c>
      <c r="B778" s="12">
        <v>227.6</v>
      </c>
      <c r="C778" s="12">
        <v>515.4</v>
      </c>
      <c r="D778" s="12">
        <v>3.76</v>
      </c>
      <c r="E778" s="12">
        <v>0.63</v>
      </c>
      <c r="F778" s="12">
        <v>50.0</v>
      </c>
      <c r="G778" s="13">
        <v>44462.672979016206</v>
      </c>
      <c r="H778" s="14">
        <f>IFERROR(__xludf.DUMMYFUNCTION("SPLIT(G778, "", "")"),44462.0)</f>
        <v>44462</v>
      </c>
      <c r="I778" s="15">
        <f>IFERROR(__xludf.DUMMYFUNCTION("""COMPUTED_VALUE"""),0.672974537037037)</f>
        <v>0.672974537</v>
      </c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12">
        <v>3.58</v>
      </c>
      <c r="B779" s="12">
        <v>227.6</v>
      </c>
      <c r="C779" s="12">
        <v>515.6</v>
      </c>
      <c r="D779" s="12">
        <v>3.76</v>
      </c>
      <c r="E779" s="12">
        <v>0.63</v>
      </c>
      <c r="F779" s="12">
        <v>50.0</v>
      </c>
      <c r="G779" s="13">
        <v>44462.67308079861</v>
      </c>
      <c r="H779" s="14">
        <f>IFERROR(__xludf.DUMMYFUNCTION("SPLIT(G779, "", "")"),44462.0)</f>
        <v>44462</v>
      </c>
      <c r="I779" s="15">
        <f>IFERROR(__xludf.DUMMYFUNCTION("""COMPUTED_VALUE"""),0.6730787037037037)</f>
        <v>0.6730787037</v>
      </c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12">
        <v>3.58</v>
      </c>
      <c r="B780" s="12">
        <v>227.6</v>
      </c>
      <c r="C780" s="12">
        <v>515.5</v>
      </c>
      <c r="D780" s="12">
        <v>3.77</v>
      </c>
      <c r="E780" s="12">
        <v>0.63</v>
      </c>
      <c r="F780" s="12">
        <v>50.0</v>
      </c>
      <c r="G780" s="13">
        <v>44462.67318175926</v>
      </c>
      <c r="H780" s="14">
        <f>IFERROR(__xludf.DUMMYFUNCTION("SPLIT(G780, "", "")"),44462.0)</f>
        <v>44462</v>
      </c>
      <c r="I780" s="15">
        <f>IFERROR(__xludf.DUMMYFUNCTION("""COMPUTED_VALUE"""),0.6731828703703704)</f>
        <v>0.6731828704</v>
      </c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12">
        <v>3.57</v>
      </c>
      <c r="B781" s="12">
        <v>227.6</v>
      </c>
      <c r="C781" s="12">
        <v>515.5</v>
      </c>
      <c r="D781" s="12">
        <v>3.77</v>
      </c>
      <c r="E781" s="12">
        <v>0.63</v>
      </c>
      <c r="F781" s="12">
        <v>50.0</v>
      </c>
      <c r="G781" s="13">
        <v>44462.67328462963</v>
      </c>
      <c r="H781" s="14">
        <f>IFERROR(__xludf.DUMMYFUNCTION("SPLIT(G781, "", "")"),44462.0)</f>
        <v>44462</v>
      </c>
      <c r="I781" s="15">
        <f>IFERROR(__xludf.DUMMYFUNCTION("""COMPUTED_VALUE"""),0.6732870370370371)</f>
        <v>0.673287037</v>
      </c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12">
        <v>3.57</v>
      </c>
      <c r="B782" s="12">
        <v>227.6</v>
      </c>
      <c r="C782" s="12">
        <v>515.6</v>
      </c>
      <c r="D782" s="12">
        <v>3.77</v>
      </c>
      <c r="E782" s="12">
        <v>0.63</v>
      </c>
      <c r="F782" s="12">
        <v>50.0</v>
      </c>
      <c r="G782" s="13">
        <v>44462.67338304398</v>
      </c>
      <c r="H782" s="14">
        <f>IFERROR(__xludf.DUMMYFUNCTION("SPLIT(G782, "", "")"),44462.0)</f>
        <v>44462</v>
      </c>
      <c r="I782" s="15">
        <f>IFERROR(__xludf.DUMMYFUNCTION("""COMPUTED_VALUE"""),0.6733796296296296)</f>
        <v>0.6733796296</v>
      </c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12">
        <v>3.58</v>
      </c>
      <c r="B783" s="12">
        <v>227.4</v>
      </c>
      <c r="C783" s="12">
        <v>515.7</v>
      </c>
      <c r="D783" s="12">
        <v>3.77</v>
      </c>
      <c r="E783" s="12">
        <v>0.63</v>
      </c>
      <c r="F783" s="12">
        <v>50.0</v>
      </c>
      <c r="G783" s="13">
        <v>44462.673487685184</v>
      </c>
      <c r="H783" s="14">
        <f>IFERROR(__xludf.DUMMYFUNCTION("SPLIT(G783, "", "")"),44462.0)</f>
        <v>44462</v>
      </c>
      <c r="I783" s="15">
        <f>IFERROR(__xludf.DUMMYFUNCTION("""COMPUTED_VALUE"""),0.6734837962962963)</f>
        <v>0.6734837963</v>
      </c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12">
        <v>3.58</v>
      </c>
      <c r="B784" s="12">
        <v>227.5</v>
      </c>
      <c r="C784" s="12">
        <v>515.8</v>
      </c>
      <c r="D784" s="12">
        <v>3.77</v>
      </c>
      <c r="E784" s="12">
        <v>0.63</v>
      </c>
      <c r="F784" s="12">
        <v>50.0</v>
      </c>
      <c r="G784" s="13">
        <v>44462.67358564815</v>
      </c>
      <c r="H784" s="14">
        <f>IFERROR(__xludf.DUMMYFUNCTION("SPLIT(G784, "", "")"),44462.0)</f>
        <v>44462</v>
      </c>
      <c r="I784" s="15">
        <f>IFERROR(__xludf.DUMMYFUNCTION("""COMPUTED_VALUE"""),0.673587962962963)</f>
        <v>0.673587963</v>
      </c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12">
        <v>3.57</v>
      </c>
      <c r="B785" s="12">
        <v>227.5</v>
      </c>
      <c r="C785" s="12">
        <v>515.7</v>
      </c>
      <c r="D785" s="12">
        <v>3.77</v>
      </c>
      <c r="E785" s="12">
        <v>0.63</v>
      </c>
      <c r="F785" s="12">
        <v>49.9</v>
      </c>
      <c r="G785" s="13">
        <v>44462.673685891205</v>
      </c>
      <c r="H785" s="14">
        <f>IFERROR(__xludf.DUMMYFUNCTION("SPLIT(G785, "", "")"),44462.0)</f>
        <v>44462</v>
      </c>
      <c r="I785" s="15">
        <f>IFERROR(__xludf.DUMMYFUNCTION("""COMPUTED_VALUE"""),0.6736805555555555)</f>
        <v>0.6736805556</v>
      </c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12">
        <v>3.57</v>
      </c>
      <c r="B786" s="12">
        <v>227.5</v>
      </c>
      <c r="C786" s="12">
        <v>515.8</v>
      </c>
      <c r="D786" s="12">
        <v>3.77</v>
      </c>
      <c r="E786" s="12">
        <v>0.63</v>
      </c>
      <c r="F786" s="12">
        <v>50.0</v>
      </c>
      <c r="G786" s="13">
        <v>44462.67378309028</v>
      </c>
      <c r="H786" s="14">
        <f>IFERROR(__xludf.DUMMYFUNCTION("SPLIT(G786, "", "")"),44462.0)</f>
        <v>44462</v>
      </c>
      <c r="I786" s="15">
        <f>IFERROR(__xludf.DUMMYFUNCTION("""COMPUTED_VALUE"""),0.6737847222222222)</f>
        <v>0.6737847222</v>
      </c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12">
        <v>3.58</v>
      </c>
      <c r="B787" s="12">
        <v>227.5</v>
      </c>
      <c r="C787" s="12">
        <v>515.9</v>
      </c>
      <c r="D787" s="12">
        <v>3.77</v>
      </c>
      <c r="E787" s="12">
        <v>0.63</v>
      </c>
      <c r="F787" s="12">
        <v>49.9</v>
      </c>
      <c r="G787" s="13">
        <v>44462.67388444445</v>
      </c>
      <c r="H787" s="14">
        <f>IFERROR(__xludf.DUMMYFUNCTION("SPLIT(G787, "", "")"),44462.0)</f>
        <v>44462</v>
      </c>
      <c r="I787" s="15">
        <f>IFERROR(__xludf.DUMMYFUNCTION("""COMPUTED_VALUE"""),0.6738888888888889)</f>
        <v>0.6738888889</v>
      </c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12">
        <v>3.58</v>
      </c>
      <c r="B788" s="12">
        <v>227.4</v>
      </c>
      <c r="C788" s="12">
        <v>516.0</v>
      </c>
      <c r="D788" s="12">
        <v>3.78</v>
      </c>
      <c r="E788" s="12">
        <v>0.63</v>
      </c>
      <c r="F788" s="12">
        <v>50.0</v>
      </c>
      <c r="G788" s="13">
        <v>44462.67398637731</v>
      </c>
      <c r="H788" s="14">
        <f>IFERROR(__xludf.DUMMYFUNCTION("SPLIT(G788, "", "")"),44462.0)</f>
        <v>44462</v>
      </c>
      <c r="I788" s="15">
        <f>IFERROR(__xludf.DUMMYFUNCTION("""COMPUTED_VALUE"""),0.6739814814814815)</f>
        <v>0.6739814815</v>
      </c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12">
        <v>3.58</v>
      </c>
      <c r="B789" s="12">
        <v>227.6</v>
      </c>
      <c r="C789" s="12">
        <v>516.0</v>
      </c>
      <c r="D789" s="12">
        <v>3.78</v>
      </c>
      <c r="E789" s="12">
        <v>0.63</v>
      </c>
      <c r="F789" s="12">
        <v>50.0</v>
      </c>
      <c r="G789" s="13">
        <v>44462.674083819446</v>
      </c>
      <c r="H789" s="14">
        <f>IFERROR(__xludf.DUMMYFUNCTION("SPLIT(G789, "", "")"),44462.0)</f>
        <v>44462</v>
      </c>
      <c r="I789" s="15">
        <f>IFERROR(__xludf.DUMMYFUNCTION("""COMPUTED_VALUE"""),0.6740856481481482)</f>
        <v>0.6740856481</v>
      </c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12">
        <v>3.57</v>
      </c>
      <c r="B790" s="12">
        <v>227.5</v>
      </c>
      <c r="C790" s="12">
        <v>516.0</v>
      </c>
      <c r="D790" s="12">
        <v>3.78</v>
      </c>
      <c r="E790" s="12">
        <v>0.63</v>
      </c>
      <c r="F790" s="12">
        <v>50.0</v>
      </c>
      <c r="G790" s="13">
        <v>44462.67418291667</v>
      </c>
      <c r="H790" s="14">
        <f>IFERROR(__xludf.DUMMYFUNCTION("SPLIT(G790, "", "")"),44462.0)</f>
        <v>44462</v>
      </c>
      <c r="I790" s="15">
        <f>IFERROR(__xludf.DUMMYFUNCTION("""COMPUTED_VALUE"""),0.6741782407407407)</f>
        <v>0.6741782407</v>
      </c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12">
        <v>3.58</v>
      </c>
      <c r="B791" s="12">
        <v>227.6</v>
      </c>
      <c r="C791" s="12">
        <v>516.1</v>
      </c>
      <c r="D791" s="12">
        <v>3.78</v>
      </c>
      <c r="E791" s="12">
        <v>0.63</v>
      </c>
      <c r="F791" s="12">
        <v>50.0</v>
      </c>
      <c r="G791" s="13">
        <v>44462.67428358796</v>
      </c>
      <c r="H791" s="14">
        <f>IFERROR(__xludf.DUMMYFUNCTION("SPLIT(G791, "", "")"),44462.0)</f>
        <v>44462</v>
      </c>
      <c r="I791" s="15">
        <f>IFERROR(__xludf.DUMMYFUNCTION("""COMPUTED_VALUE"""),0.6742824074074074)</f>
        <v>0.6742824074</v>
      </c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12">
        <v>3.58</v>
      </c>
      <c r="B792" s="12">
        <v>227.5</v>
      </c>
      <c r="C792" s="12">
        <v>516.2</v>
      </c>
      <c r="D792" s="12">
        <v>3.78</v>
      </c>
      <c r="E792" s="12">
        <v>0.63</v>
      </c>
      <c r="F792" s="12">
        <v>49.9</v>
      </c>
      <c r="G792" s="13">
        <v>44462.67438892361</v>
      </c>
      <c r="H792" s="14">
        <f>IFERROR(__xludf.DUMMYFUNCTION("SPLIT(G792, "", "")"),44462.0)</f>
        <v>44462</v>
      </c>
      <c r="I792" s="15">
        <f>IFERROR(__xludf.DUMMYFUNCTION("""COMPUTED_VALUE"""),0.6743865740740741)</f>
        <v>0.6743865741</v>
      </c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12">
        <v>3.58</v>
      </c>
      <c r="B793" s="12">
        <v>227.5</v>
      </c>
      <c r="C793" s="12">
        <v>516.2</v>
      </c>
      <c r="D793" s="12">
        <v>3.78</v>
      </c>
      <c r="E793" s="12">
        <v>0.63</v>
      </c>
      <c r="F793" s="12">
        <v>50.0</v>
      </c>
      <c r="G793" s="13">
        <v>44462.67449609954</v>
      </c>
      <c r="H793" s="14">
        <f>IFERROR(__xludf.DUMMYFUNCTION("SPLIT(G793, "", "")"),44462.0)</f>
        <v>44462</v>
      </c>
      <c r="I793" s="15">
        <f>IFERROR(__xludf.DUMMYFUNCTION("""COMPUTED_VALUE"""),0.6744907407407408)</f>
        <v>0.6744907407</v>
      </c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12">
        <v>3.58</v>
      </c>
      <c r="B794" s="12">
        <v>227.5</v>
      </c>
      <c r="C794" s="12">
        <v>516.3</v>
      </c>
      <c r="D794" s="12">
        <v>3.78</v>
      </c>
      <c r="E794" s="12">
        <v>0.63</v>
      </c>
      <c r="F794" s="12">
        <v>50.0</v>
      </c>
      <c r="G794" s="13">
        <v>44462.674597488425</v>
      </c>
      <c r="H794" s="14">
        <f>IFERROR(__xludf.DUMMYFUNCTION("SPLIT(G794, "", "")"),44462.0)</f>
        <v>44462</v>
      </c>
      <c r="I794" s="15">
        <f>IFERROR(__xludf.DUMMYFUNCTION("""COMPUTED_VALUE"""),0.6745949074074075)</f>
        <v>0.6745949074</v>
      </c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12">
        <v>3.59</v>
      </c>
      <c r="B795" s="12">
        <v>227.5</v>
      </c>
      <c r="C795" s="12">
        <v>516.6</v>
      </c>
      <c r="D795" s="12">
        <v>3.78</v>
      </c>
      <c r="E795" s="12">
        <v>0.63</v>
      </c>
      <c r="F795" s="12">
        <v>50.0</v>
      </c>
      <c r="G795" s="13">
        <v>44462.67469962963</v>
      </c>
      <c r="H795" s="14">
        <f>IFERROR(__xludf.DUMMYFUNCTION("SPLIT(G795, "", "")"),44462.0)</f>
        <v>44462</v>
      </c>
      <c r="I795" s="15">
        <f>IFERROR(__xludf.DUMMYFUNCTION("""COMPUTED_VALUE"""),0.674699074074074)</f>
        <v>0.6746990741</v>
      </c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12">
        <v>3.58</v>
      </c>
      <c r="B796" s="12">
        <v>227.6</v>
      </c>
      <c r="C796" s="12">
        <v>516.5</v>
      </c>
      <c r="D796" s="12">
        <v>3.79</v>
      </c>
      <c r="E796" s="12">
        <v>0.63</v>
      </c>
      <c r="F796" s="12">
        <v>50.0</v>
      </c>
      <c r="G796" s="13">
        <v>44462.67479752315</v>
      </c>
      <c r="H796" s="14">
        <f>IFERROR(__xludf.DUMMYFUNCTION("SPLIT(G796, "", "")"),44462.0)</f>
        <v>44462</v>
      </c>
      <c r="I796" s="15">
        <f>IFERROR(__xludf.DUMMYFUNCTION("""COMPUTED_VALUE"""),0.6748032407407407)</f>
        <v>0.6748032407</v>
      </c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12">
        <v>3.59</v>
      </c>
      <c r="B797" s="12">
        <v>227.4</v>
      </c>
      <c r="C797" s="12">
        <v>516.5</v>
      </c>
      <c r="D797" s="12">
        <v>3.79</v>
      </c>
      <c r="E797" s="12">
        <v>0.63</v>
      </c>
      <c r="F797" s="12">
        <v>50.0</v>
      </c>
      <c r="G797" s="13">
        <v>44462.67489954861</v>
      </c>
      <c r="H797" s="14">
        <f>IFERROR(__xludf.DUMMYFUNCTION("SPLIT(G797, "", "")"),44462.0)</f>
        <v>44462</v>
      </c>
      <c r="I797" s="15">
        <f>IFERROR(__xludf.DUMMYFUNCTION("""COMPUTED_VALUE"""),0.6748958333333334)</f>
        <v>0.6748958333</v>
      </c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12">
        <v>3.58</v>
      </c>
      <c r="B798" s="12">
        <v>227.6</v>
      </c>
      <c r="C798" s="12">
        <v>516.6</v>
      </c>
      <c r="D798" s="12">
        <v>3.79</v>
      </c>
      <c r="E798" s="12">
        <v>0.63</v>
      </c>
      <c r="F798" s="12">
        <v>50.0</v>
      </c>
      <c r="G798" s="13">
        <v>44462.67499824074</v>
      </c>
      <c r="H798" s="14">
        <f>IFERROR(__xludf.DUMMYFUNCTION("SPLIT(G798, "", "")"),44462.0)</f>
        <v>44462</v>
      </c>
      <c r="I798" s="15">
        <f>IFERROR(__xludf.DUMMYFUNCTION("""COMPUTED_VALUE"""),0.675)</f>
        <v>0.675</v>
      </c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12">
        <v>3.58</v>
      </c>
      <c r="B799" s="12">
        <v>227.6</v>
      </c>
      <c r="C799" s="12">
        <v>516.6</v>
      </c>
      <c r="D799" s="12">
        <v>3.79</v>
      </c>
      <c r="E799" s="12">
        <v>0.63</v>
      </c>
      <c r="F799" s="12">
        <v>50.0</v>
      </c>
      <c r="G799" s="13">
        <v>44462.67509841435</v>
      </c>
      <c r="H799" s="14">
        <f>IFERROR(__xludf.DUMMYFUNCTION("SPLIT(G799, "", "")"),44462.0)</f>
        <v>44462</v>
      </c>
      <c r="I799" s="15">
        <f>IFERROR(__xludf.DUMMYFUNCTION("""COMPUTED_VALUE"""),0.6751041666666666)</f>
        <v>0.6751041667</v>
      </c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12">
        <v>3.58</v>
      </c>
      <c r="B800" s="12">
        <v>227.6</v>
      </c>
      <c r="C800" s="12">
        <v>516.6</v>
      </c>
      <c r="D800" s="12">
        <v>3.79</v>
      </c>
      <c r="E800" s="12">
        <v>0.63</v>
      </c>
      <c r="F800" s="12">
        <v>50.0</v>
      </c>
      <c r="G800" s="13">
        <v>44462.67519915509</v>
      </c>
      <c r="H800" s="14">
        <f>IFERROR(__xludf.DUMMYFUNCTION("SPLIT(G800, "", "")"),44462.0)</f>
        <v>44462</v>
      </c>
      <c r="I800" s="15">
        <f>IFERROR(__xludf.DUMMYFUNCTION("""COMPUTED_VALUE"""),0.6751967592592593)</f>
        <v>0.6751967593</v>
      </c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12">
        <v>3.59</v>
      </c>
      <c r="B801" s="12">
        <v>227.6</v>
      </c>
      <c r="C801" s="12">
        <v>516.7</v>
      </c>
      <c r="D801" s="12">
        <v>3.79</v>
      </c>
      <c r="E801" s="12">
        <v>0.63</v>
      </c>
      <c r="F801" s="12">
        <v>50.0</v>
      </c>
      <c r="G801" s="13">
        <v>44462.67530495371</v>
      </c>
      <c r="H801" s="14">
        <f>IFERROR(__xludf.DUMMYFUNCTION("SPLIT(G801, "", "")"),44462.0)</f>
        <v>44462</v>
      </c>
      <c r="I801" s="15">
        <f>IFERROR(__xludf.DUMMYFUNCTION("""COMPUTED_VALUE"""),0.6753009259259259)</f>
        <v>0.6753009259</v>
      </c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12">
        <v>3.6</v>
      </c>
      <c r="B802" s="12">
        <v>227.1</v>
      </c>
      <c r="C802" s="12">
        <v>516.6</v>
      </c>
      <c r="D802" s="12">
        <v>3.79</v>
      </c>
      <c r="E802" s="12">
        <v>0.63</v>
      </c>
      <c r="F802" s="12">
        <v>50.0</v>
      </c>
      <c r="G802" s="13">
        <v>44462.67541297454</v>
      </c>
      <c r="H802" s="14">
        <f>IFERROR(__xludf.DUMMYFUNCTION("SPLIT(G802, "", "")"),44462.0)</f>
        <v>44462</v>
      </c>
      <c r="I802" s="15">
        <f>IFERROR(__xludf.DUMMYFUNCTION("""COMPUTED_VALUE"""),0.6754166666666667)</f>
        <v>0.6754166667</v>
      </c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12">
        <v>3.61</v>
      </c>
      <c r="B803" s="12">
        <v>227.2</v>
      </c>
      <c r="C803" s="12">
        <v>516.8</v>
      </c>
      <c r="D803" s="12">
        <v>3.79</v>
      </c>
      <c r="E803" s="12">
        <v>0.63</v>
      </c>
      <c r="F803" s="12">
        <v>49.9</v>
      </c>
      <c r="G803" s="13">
        <v>44462.675515462965</v>
      </c>
      <c r="H803" s="14">
        <f>IFERROR(__xludf.DUMMYFUNCTION("SPLIT(G803, "", "")"),44462.0)</f>
        <v>44462</v>
      </c>
      <c r="I803" s="15">
        <f>IFERROR(__xludf.DUMMYFUNCTION("""COMPUTED_VALUE"""),0.6755208333333333)</f>
        <v>0.6755208333</v>
      </c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12">
        <v>3.6</v>
      </c>
      <c r="B804" s="12">
        <v>227.4</v>
      </c>
      <c r="C804" s="12">
        <v>516.9</v>
      </c>
      <c r="D804" s="12">
        <v>3.8</v>
      </c>
      <c r="E804" s="12">
        <v>0.63</v>
      </c>
      <c r="F804" s="12">
        <v>49.9</v>
      </c>
      <c r="G804" s="13">
        <v>44462.67561847222</v>
      </c>
      <c r="H804" s="14">
        <f>IFERROR(__xludf.DUMMYFUNCTION("SPLIT(G804, "", "")"),44462.0)</f>
        <v>44462</v>
      </c>
      <c r="I804" s="15">
        <f>IFERROR(__xludf.DUMMYFUNCTION("""COMPUTED_VALUE"""),0.6756134259259259)</f>
        <v>0.6756134259</v>
      </c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12">
        <v>3.61</v>
      </c>
      <c r="B805" s="12">
        <v>227.3</v>
      </c>
      <c r="C805" s="12">
        <v>516.9</v>
      </c>
      <c r="D805" s="12">
        <v>3.8</v>
      </c>
      <c r="E805" s="12">
        <v>0.63</v>
      </c>
      <c r="F805" s="12">
        <v>49.9</v>
      </c>
      <c r="G805" s="13">
        <v>44462.67571954861</v>
      </c>
      <c r="H805" s="14">
        <f>IFERROR(__xludf.DUMMYFUNCTION("SPLIT(G805, "", "")"),44462.0)</f>
        <v>44462</v>
      </c>
      <c r="I805" s="15">
        <f>IFERROR(__xludf.DUMMYFUNCTION("""COMPUTED_VALUE"""),0.6757175925925926)</f>
        <v>0.6757175926</v>
      </c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12">
        <v>3.6</v>
      </c>
      <c r="B806" s="12">
        <v>227.3</v>
      </c>
      <c r="C806" s="12">
        <v>517.0</v>
      </c>
      <c r="D806" s="12">
        <v>3.8</v>
      </c>
      <c r="E806" s="12">
        <v>0.63</v>
      </c>
      <c r="F806" s="12">
        <v>50.0</v>
      </c>
      <c r="G806" s="13">
        <v>44462.675819027776</v>
      </c>
      <c r="H806" s="14">
        <f>IFERROR(__xludf.DUMMYFUNCTION("SPLIT(G806, "", "")"),44462.0)</f>
        <v>44462</v>
      </c>
      <c r="I806" s="15">
        <f>IFERROR(__xludf.DUMMYFUNCTION("""COMPUTED_VALUE"""),0.6758217592592592)</f>
        <v>0.6758217593</v>
      </c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12">
        <v>3.6</v>
      </c>
      <c r="B807" s="12">
        <v>227.4</v>
      </c>
      <c r="C807" s="12">
        <v>517.1</v>
      </c>
      <c r="D807" s="12">
        <v>3.8</v>
      </c>
      <c r="E807" s="12">
        <v>0.63</v>
      </c>
      <c r="F807" s="12">
        <v>50.0</v>
      </c>
      <c r="G807" s="13">
        <v>44462.675926875</v>
      </c>
      <c r="H807" s="14">
        <f>IFERROR(__xludf.DUMMYFUNCTION("SPLIT(G807, "", "")"),44462.0)</f>
        <v>44462</v>
      </c>
      <c r="I807" s="15">
        <f>IFERROR(__xludf.DUMMYFUNCTION("""COMPUTED_VALUE"""),0.6759259259259259)</f>
        <v>0.6759259259</v>
      </c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12">
        <v>3.6</v>
      </c>
      <c r="B808" s="12">
        <v>227.5</v>
      </c>
      <c r="C808" s="12">
        <v>517.1</v>
      </c>
      <c r="D808" s="12">
        <v>3.8</v>
      </c>
      <c r="E808" s="12">
        <v>0.63</v>
      </c>
      <c r="F808" s="12">
        <v>50.0</v>
      </c>
      <c r="G808" s="13">
        <v>44462.6760341551</v>
      </c>
      <c r="H808" s="14">
        <f>IFERROR(__xludf.DUMMYFUNCTION("SPLIT(G808, "", "")"),44462.0)</f>
        <v>44462</v>
      </c>
      <c r="I808" s="15">
        <f>IFERROR(__xludf.DUMMYFUNCTION("""COMPUTED_VALUE"""),0.6760300925925926)</f>
        <v>0.6760300926</v>
      </c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12">
        <v>3.6</v>
      </c>
      <c r="B809" s="12">
        <v>227.5</v>
      </c>
      <c r="C809" s="12">
        <v>517.3</v>
      </c>
      <c r="D809" s="12">
        <v>3.8</v>
      </c>
      <c r="E809" s="12">
        <v>0.63</v>
      </c>
      <c r="F809" s="12">
        <v>50.0</v>
      </c>
      <c r="G809" s="13">
        <v>44462.67613825231</v>
      </c>
      <c r="H809" s="14">
        <f>IFERROR(__xludf.DUMMYFUNCTION("SPLIT(G809, "", "")"),44462.0)</f>
        <v>44462</v>
      </c>
      <c r="I809" s="15">
        <f>IFERROR(__xludf.DUMMYFUNCTION("""COMPUTED_VALUE"""),0.6761342592592593)</f>
        <v>0.6761342593</v>
      </c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12">
        <v>3.6</v>
      </c>
      <c r="B810" s="12">
        <v>227.4</v>
      </c>
      <c r="C810" s="12">
        <v>517.3</v>
      </c>
      <c r="D810" s="12">
        <v>3.8</v>
      </c>
      <c r="E810" s="12">
        <v>0.63</v>
      </c>
      <c r="F810" s="12">
        <v>50.0</v>
      </c>
      <c r="G810" s="13">
        <v>44462.67624028935</v>
      </c>
      <c r="H810" s="14">
        <f>IFERROR(__xludf.DUMMYFUNCTION("SPLIT(G810, "", "")"),44462.0)</f>
        <v>44462</v>
      </c>
      <c r="I810" s="15">
        <f>IFERROR(__xludf.DUMMYFUNCTION("""COMPUTED_VALUE"""),0.676238425925926)</f>
        <v>0.6762384259</v>
      </c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12">
        <v>3.6</v>
      </c>
      <c r="B811" s="12">
        <v>227.4</v>
      </c>
      <c r="C811" s="12">
        <v>517.3</v>
      </c>
      <c r="D811" s="12">
        <v>3.8</v>
      </c>
      <c r="E811" s="12">
        <v>0.63</v>
      </c>
      <c r="F811" s="12">
        <v>50.0</v>
      </c>
      <c r="G811" s="13">
        <v>44462.67634826389</v>
      </c>
      <c r="H811" s="14">
        <f>IFERROR(__xludf.DUMMYFUNCTION("SPLIT(G811, "", "")"),44462.0)</f>
        <v>44462</v>
      </c>
      <c r="I811" s="15">
        <f>IFERROR(__xludf.DUMMYFUNCTION("""COMPUTED_VALUE"""),0.6763425925925926)</f>
        <v>0.6763425926</v>
      </c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12">
        <v>3.6</v>
      </c>
      <c r="B812" s="12">
        <v>227.5</v>
      </c>
      <c r="C812" s="12">
        <v>517.4</v>
      </c>
      <c r="D812" s="12">
        <v>3.81</v>
      </c>
      <c r="E812" s="12">
        <v>0.63</v>
      </c>
      <c r="F812" s="12">
        <v>50.0</v>
      </c>
      <c r="G812" s="13">
        <v>44462.67645854167</v>
      </c>
      <c r="H812" s="14">
        <f>IFERROR(__xludf.DUMMYFUNCTION("SPLIT(G812, "", "")"),44462.0)</f>
        <v>44462</v>
      </c>
      <c r="I812" s="15">
        <f>IFERROR(__xludf.DUMMYFUNCTION("""COMPUTED_VALUE"""),0.6764583333333334)</f>
        <v>0.6764583333</v>
      </c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12">
        <v>3.61</v>
      </c>
      <c r="B813" s="12">
        <v>227.1</v>
      </c>
      <c r="C813" s="12">
        <v>517.5</v>
      </c>
      <c r="D813" s="12">
        <v>3.81</v>
      </c>
      <c r="E813" s="12">
        <v>0.63</v>
      </c>
      <c r="F813" s="12">
        <v>50.0</v>
      </c>
      <c r="G813" s="13">
        <v>44462.67656556713</v>
      </c>
      <c r="H813" s="14">
        <f>IFERROR(__xludf.DUMMYFUNCTION("SPLIT(G813, "", "")"),44462.0)</f>
        <v>44462</v>
      </c>
      <c r="I813" s="15">
        <f>IFERROR(__xludf.DUMMYFUNCTION("""COMPUTED_VALUE"""),0.6765625)</f>
        <v>0.6765625</v>
      </c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12">
        <v>3.61</v>
      </c>
      <c r="B814" s="12">
        <v>227.2</v>
      </c>
      <c r="C814" s="12">
        <v>517.5</v>
      </c>
      <c r="D814" s="12">
        <v>3.81</v>
      </c>
      <c r="E814" s="12">
        <v>0.63</v>
      </c>
      <c r="F814" s="12">
        <v>50.0</v>
      </c>
      <c r="G814" s="13">
        <v>44462.67669619213</v>
      </c>
      <c r="H814" s="14">
        <f>IFERROR(__xludf.DUMMYFUNCTION("SPLIT(G814, "", "")"),44462.0)</f>
        <v>44462</v>
      </c>
      <c r="I814" s="15">
        <f>IFERROR(__xludf.DUMMYFUNCTION("""COMPUTED_VALUE"""),0.6767013888888889)</f>
        <v>0.6767013889</v>
      </c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12">
        <v>3.61</v>
      </c>
      <c r="B815" s="12">
        <v>227.0</v>
      </c>
      <c r="C815" s="12">
        <v>517.6</v>
      </c>
      <c r="D815" s="12">
        <v>3.81</v>
      </c>
      <c r="E815" s="12">
        <v>0.63</v>
      </c>
      <c r="F815" s="12">
        <v>50.0</v>
      </c>
      <c r="G815" s="13">
        <v>44462.676797974535</v>
      </c>
      <c r="H815" s="14">
        <f>IFERROR(__xludf.DUMMYFUNCTION("SPLIT(G815, "", "")"),44462.0)</f>
        <v>44462</v>
      </c>
      <c r="I815" s="15">
        <f>IFERROR(__xludf.DUMMYFUNCTION("""COMPUTED_VALUE"""),0.6767939814814815)</f>
        <v>0.6767939815</v>
      </c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12">
        <v>3.62</v>
      </c>
      <c r="B816" s="12">
        <v>226.9</v>
      </c>
      <c r="C816" s="12">
        <v>517.6</v>
      </c>
      <c r="D816" s="12">
        <v>3.81</v>
      </c>
      <c r="E816" s="12">
        <v>0.63</v>
      </c>
      <c r="F816" s="12">
        <v>50.0</v>
      </c>
      <c r="G816" s="13">
        <v>44462.676933263894</v>
      </c>
      <c r="H816" s="14">
        <f>IFERROR(__xludf.DUMMYFUNCTION("SPLIT(G816, "", "")"),44462.0)</f>
        <v>44462</v>
      </c>
      <c r="I816" s="15">
        <f>IFERROR(__xludf.DUMMYFUNCTION("""COMPUTED_VALUE"""),0.6769328703703704)</f>
        <v>0.6769328704</v>
      </c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12">
        <v>3.61</v>
      </c>
      <c r="B817" s="12">
        <v>226.9</v>
      </c>
      <c r="C817" s="12">
        <v>517.6</v>
      </c>
      <c r="D817" s="12">
        <v>3.81</v>
      </c>
      <c r="E817" s="12">
        <v>0.63</v>
      </c>
      <c r="F817" s="12">
        <v>50.0</v>
      </c>
      <c r="G817" s="13">
        <v>44462.67704027778</v>
      </c>
      <c r="H817" s="14">
        <f>IFERROR(__xludf.DUMMYFUNCTION("SPLIT(G817, "", "")"),44462.0)</f>
        <v>44462</v>
      </c>
      <c r="I817" s="15">
        <f>IFERROR(__xludf.DUMMYFUNCTION("""COMPUTED_VALUE"""),0.677037037037037)</f>
        <v>0.677037037</v>
      </c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12">
        <v>3.6</v>
      </c>
      <c r="B818" s="12">
        <v>226.9</v>
      </c>
      <c r="C818" s="12">
        <v>517.6</v>
      </c>
      <c r="D818" s="12">
        <v>3.81</v>
      </c>
      <c r="E818" s="12">
        <v>0.63</v>
      </c>
      <c r="F818" s="12">
        <v>49.9</v>
      </c>
      <c r="G818" s="13">
        <v>44462.67714325232</v>
      </c>
      <c r="H818" s="14">
        <f>IFERROR(__xludf.DUMMYFUNCTION("SPLIT(G818, "", "")"),44462.0)</f>
        <v>44462</v>
      </c>
      <c r="I818" s="15">
        <f>IFERROR(__xludf.DUMMYFUNCTION("""COMPUTED_VALUE"""),0.6771412037037037)</f>
        <v>0.6771412037</v>
      </c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12">
        <v>3.61</v>
      </c>
      <c r="B819" s="12">
        <v>226.8</v>
      </c>
      <c r="C819" s="12">
        <v>517.6</v>
      </c>
      <c r="D819" s="12">
        <v>3.82</v>
      </c>
      <c r="E819" s="12">
        <v>0.63</v>
      </c>
      <c r="F819" s="12">
        <v>49.9</v>
      </c>
      <c r="G819" s="13">
        <v>44462.67725125</v>
      </c>
      <c r="H819" s="14">
        <f>IFERROR(__xludf.DUMMYFUNCTION("SPLIT(G819, "", "")"),44462.0)</f>
        <v>44462</v>
      </c>
      <c r="I819" s="15">
        <f>IFERROR(__xludf.DUMMYFUNCTION("""COMPUTED_VALUE"""),0.6772569444444444)</f>
        <v>0.6772569444</v>
      </c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12">
        <v>3.61</v>
      </c>
      <c r="B820" s="12">
        <v>226.9</v>
      </c>
      <c r="C820" s="12">
        <v>517.7</v>
      </c>
      <c r="D820" s="12">
        <v>3.82</v>
      </c>
      <c r="E820" s="12">
        <v>0.63</v>
      </c>
      <c r="F820" s="12">
        <v>49.9</v>
      </c>
      <c r="G820" s="13">
        <v>44462.67735268519</v>
      </c>
      <c r="H820" s="14">
        <f>IFERROR(__xludf.DUMMYFUNCTION("SPLIT(G820, "", "")"),44462.0)</f>
        <v>44462</v>
      </c>
      <c r="I820" s="15">
        <f>IFERROR(__xludf.DUMMYFUNCTION("""COMPUTED_VALUE"""),0.677349537037037)</f>
        <v>0.677349537</v>
      </c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12">
        <v>3.61</v>
      </c>
      <c r="B821" s="12">
        <v>226.6</v>
      </c>
      <c r="C821" s="12">
        <v>517.8</v>
      </c>
      <c r="D821" s="12">
        <v>3.82</v>
      </c>
      <c r="E821" s="12">
        <v>0.63</v>
      </c>
      <c r="F821" s="12">
        <v>49.9</v>
      </c>
      <c r="G821" s="13">
        <v>44462.67745178241</v>
      </c>
      <c r="H821" s="14">
        <f>IFERROR(__xludf.DUMMYFUNCTION("SPLIT(G821, "", "")"),44462.0)</f>
        <v>44462</v>
      </c>
      <c r="I821" s="15">
        <f>IFERROR(__xludf.DUMMYFUNCTION("""COMPUTED_VALUE"""),0.6774537037037037)</f>
        <v>0.6774537037</v>
      </c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12">
        <v>3.61</v>
      </c>
      <c r="B822" s="12">
        <v>226.8</v>
      </c>
      <c r="C822" s="12">
        <v>517.9</v>
      </c>
      <c r="D822" s="12">
        <v>3.82</v>
      </c>
      <c r="E822" s="12">
        <v>0.63</v>
      </c>
      <c r="F822" s="12">
        <v>49.9</v>
      </c>
      <c r="G822" s="13">
        <v>44462.67755011574</v>
      </c>
      <c r="H822" s="14">
        <f>IFERROR(__xludf.DUMMYFUNCTION("SPLIT(G822, "", "")"),44462.0)</f>
        <v>44462</v>
      </c>
      <c r="I822" s="15">
        <f>IFERROR(__xludf.DUMMYFUNCTION("""COMPUTED_VALUE"""),0.6775462962962963)</f>
        <v>0.6775462963</v>
      </c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12">
        <v>3.61</v>
      </c>
      <c r="B823" s="12">
        <v>226.9</v>
      </c>
      <c r="C823" s="12">
        <v>518.0</v>
      </c>
      <c r="D823" s="12">
        <v>3.82</v>
      </c>
      <c r="E823" s="12">
        <v>0.63</v>
      </c>
      <c r="F823" s="12">
        <v>50.0</v>
      </c>
      <c r="G823" s="13">
        <v>44462.67765412037</v>
      </c>
      <c r="H823" s="14">
        <f>IFERROR(__xludf.DUMMYFUNCTION("SPLIT(G823, "", "")"),44462.0)</f>
        <v>44462</v>
      </c>
      <c r="I823" s="15">
        <f>IFERROR(__xludf.DUMMYFUNCTION("""COMPUTED_VALUE"""),0.6776504629629629)</f>
        <v>0.677650463</v>
      </c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12">
        <v>3.61</v>
      </c>
      <c r="B824" s="12">
        <v>227.0</v>
      </c>
      <c r="C824" s="12">
        <v>518.0</v>
      </c>
      <c r="D824" s="12">
        <v>3.82</v>
      </c>
      <c r="E824" s="12">
        <v>0.63</v>
      </c>
      <c r="F824" s="12">
        <v>50.0</v>
      </c>
      <c r="G824" s="13">
        <v>44462.67776248843</v>
      </c>
      <c r="H824" s="14">
        <f>IFERROR(__xludf.DUMMYFUNCTION("SPLIT(G824, "", "")"),44462.0)</f>
        <v>44462</v>
      </c>
      <c r="I824" s="15">
        <f>IFERROR(__xludf.DUMMYFUNCTION("""COMPUTED_VALUE"""),0.6777662037037037)</f>
        <v>0.6777662037</v>
      </c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12">
        <v>3.62</v>
      </c>
      <c r="B825" s="12">
        <v>226.9</v>
      </c>
      <c r="C825" s="12">
        <v>518.1</v>
      </c>
      <c r="D825" s="12">
        <v>3.82</v>
      </c>
      <c r="E825" s="12">
        <v>0.63</v>
      </c>
      <c r="F825" s="12">
        <v>50.0</v>
      </c>
      <c r="G825" s="13">
        <v>44462.67786369213</v>
      </c>
      <c r="H825" s="14">
        <f>IFERROR(__xludf.DUMMYFUNCTION("SPLIT(G825, "", "")"),44462.0)</f>
        <v>44462</v>
      </c>
      <c r="I825" s="15">
        <f>IFERROR(__xludf.DUMMYFUNCTION("""COMPUTED_VALUE"""),0.6778587962962963)</f>
        <v>0.6778587963</v>
      </c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12">
        <v>3.61</v>
      </c>
      <c r="B826" s="12">
        <v>227.0</v>
      </c>
      <c r="C826" s="12">
        <v>518.1</v>
      </c>
      <c r="D826" s="12">
        <v>3.82</v>
      </c>
      <c r="E826" s="12">
        <v>0.63</v>
      </c>
      <c r="F826" s="12">
        <v>50.0</v>
      </c>
      <c r="G826" s="13">
        <v>44462.67796959491</v>
      </c>
      <c r="H826" s="14">
        <f>IFERROR(__xludf.DUMMYFUNCTION("SPLIT(G826, "", "")"),44462.0)</f>
        <v>44462</v>
      </c>
      <c r="I826" s="15">
        <f>IFERROR(__xludf.DUMMYFUNCTION("""COMPUTED_VALUE"""),0.677974537037037)</f>
        <v>0.677974537</v>
      </c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12">
        <v>3.61</v>
      </c>
      <c r="B827" s="12">
        <v>226.8</v>
      </c>
      <c r="C827" s="12">
        <v>518.0</v>
      </c>
      <c r="D827" s="12">
        <v>3.83</v>
      </c>
      <c r="E827" s="12">
        <v>0.63</v>
      </c>
      <c r="F827" s="12">
        <v>50.0</v>
      </c>
      <c r="G827" s="13">
        <v>44462.678076296295</v>
      </c>
      <c r="H827" s="14">
        <f>IFERROR(__xludf.DUMMYFUNCTION("SPLIT(G827, "", "")"),44462.0)</f>
        <v>44462</v>
      </c>
      <c r="I827" s="15">
        <f>IFERROR(__xludf.DUMMYFUNCTION("""COMPUTED_VALUE"""),0.6780787037037037)</f>
        <v>0.6780787037</v>
      </c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12">
        <v>3.62</v>
      </c>
      <c r="B828" s="12">
        <v>226.9</v>
      </c>
      <c r="C828" s="12">
        <v>518.2</v>
      </c>
      <c r="D828" s="12">
        <v>3.83</v>
      </c>
      <c r="E828" s="12">
        <v>0.63</v>
      </c>
      <c r="F828" s="12">
        <v>50.0</v>
      </c>
      <c r="G828" s="13">
        <v>44462.67817262732</v>
      </c>
      <c r="H828" s="14">
        <f>IFERROR(__xludf.DUMMYFUNCTION("SPLIT(G828, "", "")"),44462.0)</f>
        <v>44462</v>
      </c>
      <c r="I828" s="15">
        <f>IFERROR(__xludf.DUMMYFUNCTION("""COMPUTED_VALUE"""),0.6781712962962962)</f>
        <v>0.6781712963</v>
      </c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12">
        <v>3.62</v>
      </c>
      <c r="B829" s="12">
        <v>226.9</v>
      </c>
      <c r="C829" s="12">
        <v>518.2</v>
      </c>
      <c r="D829" s="12">
        <v>3.83</v>
      </c>
      <c r="E829" s="12">
        <v>0.63</v>
      </c>
      <c r="F829" s="12">
        <v>50.0</v>
      </c>
      <c r="G829" s="13">
        <v>44462.67827258102</v>
      </c>
      <c r="H829" s="14">
        <f>IFERROR(__xludf.DUMMYFUNCTION("SPLIT(G829, "", "")"),44462.0)</f>
        <v>44462</v>
      </c>
      <c r="I829" s="15">
        <f>IFERROR(__xludf.DUMMYFUNCTION("""COMPUTED_VALUE"""),0.6782754629629629)</f>
        <v>0.678275463</v>
      </c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12">
        <v>3.61</v>
      </c>
      <c r="B830" s="12">
        <v>227.0</v>
      </c>
      <c r="C830" s="12">
        <v>518.2</v>
      </c>
      <c r="D830" s="12">
        <v>3.83</v>
      </c>
      <c r="E830" s="12">
        <v>0.63</v>
      </c>
      <c r="F830" s="12">
        <v>50.0</v>
      </c>
      <c r="G830" s="13">
        <v>44462.67837094907</v>
      </c>
      <c r="H830" s="14">
        <f>IFERROR(__xludf.DUMMYFUNCTION("SPLIT(G830, "", "")"),44462.0)</f>
        <v>44462</v>
      </c>
      <c r="I830" s="15">
        <f>IFERROR(__xludf.DUMMYFUNCTION("""COMPUTED_VALUE"""),0.6783680555555556)</f>
        <v>0.6783680556</v>
      </c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12">
        <v>3.61</v>
      </c>
      <c r="B831" s="12">
        <v>226.8</v>
      </c>
      <c r="C831" s="12">
        <v>518.3</v>
      </c>
      <c r="D831" s="12">
        <v>3.83</v>
      </c>
      <c r="E831" s="12">
        <v>0.63</v>
      </c>
      <c r="F831" s="12">
        <v>50.0</v>
      </c>
      <c r="G831" s="13">
        <v>44462.67847770834</v>
      </c>
      <c r="H831" s="14">
        <f>IFERROR(__xludf.DUMMYFUNCTION("SPLIT(G831, "", "")"),44462.0)</f>
        <v>44462</v>
      </c>
      <c r="I831" s="15">
        <f>IFERROR(__xludf.DUMMYFUNCTION("""COMPUTED_VALUE"""),0.6784722222222223)</f>
        <v>0.6784722222</v>
      </c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12">
        <v>3.61</v>
      </c>
      <c r="B832" s="12">
        <v>226.9</v>
      </c>
      <c r="C832" s="12">
        <v>518.3</v>
      </c>
      <c r="D832" s="12">
        <v>3.83</v>
      </c>
      <c r="E832" s="12">
        <v>0.63</v>
      </c>
      <c r="F832" s="12">
        <v>50.0</v>
      </c>
      <c r="G832" s="13">
        <v>44462.67858359954</v>
      </c>
      <c r="H832" s="14">
        <f>IFERROR(__xludf.DUMMYFUNCTION("SPLIT(G832, "", "")"),44462.0)</f>
        <v>44462</v>
      </c>
      <c r="I832" s="15">
        <f>IFERROR(__xludf.DUMMYFUNCTION("""COMPUTED_VALUE"""),0.678587962962963)</f>
        <v>0.678587963</v>
      </c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12">
        <v>3.62</v>
      </c>
      <c r="B833" s="12">
        <v>226.7</v>
      </c>
      <c r="C833" s="12">
        <v>518.4</v>
      </c>
      <c r="D833" s="12">
        <v>3.83</v>
      </c>
      <c r="E833" s="12">
        <v>0.63</v>
      </c>
      <c r="F833" s="12">
        <v>50.0</v>
      </c>
      <c r="G833" s="13">
        <v>44462.67868511574</v>
      </c>
      <c r="H833" s="14">
        <f>IFERROR(__xludf.DUMMYFUNCTION("SPLIT(G833, "", "")"),44462.0)</f>
        <v>44462</v>
      </c>
      <c r="I833" s="15">
        <f>IFERROR(__xludf.DUMMYFUNCTION("""COMPUTED_VALUE"""),0.6786805555555555)</f>
        <v>0.6786805556</v>
      </c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12">
        <v>3.63</v>
      </c>
      <c r="B834" s="12">
        <v>226.6</v>
      </c>
      <c r="C834" s="12">
        <v>518.5</v>
      </c>
      <c r="D834" s="12">
        <v>3.83</v>
      </c>
      <c r="E834" s="12">
        <v>0.63</v>
      </c>
      <c r="F834" s="12">
        <v>50.0</v>
      </c>
      <c r="G834" s="13">
        <v>44462.67878638889</v>
      </c>
      <c r="H834" s="14">
        <f>IFERROR(__xludf.DUMMYFUNCTION("SPLIT(G834, "", "")"),44462.0)</f>
        <v>44462</v>
      </c>
      <c r="I834" s="15">
        <f>IFERROR(__xludf.DUMMYFUNCTION("""COMPUTED_VALUE"""),0.6787847222222222)</f>
        <v>0.6787847222</v>
      </c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12">
        <v>3.63</v>
      </c>
      <c r="B835" s="12">
        <v>226.6</v>
      </c>
      <c r="C835" s="12">
        <v>518.7</v>
      </c>
      <c r="D835" s="12">
        <v>3.84</v>
      </c>
      <c r="E835" s="12">
        <v>0.63</v>
      </c>
      <c r="F835" s="12">
        <v>49.9</v>
      </c>
      <c r="G835" s="13">
        <v>44462.67889013889</v>
      </c>
      <c r="H835" s="14">
        <f>IFERROR(__xludf.DUMMYFUNCTION("SPLIT(G835, "", "")"),44462.0)</f>
        <v>44462</v>
      </c>
      <c r="I835" s="15">
        <f>IFERROR(__xludf.DUMMYFUNCTION("""COMPUTED_VALUE"""),0.6788888888888889)</f>
        <v>0.6788888889</v>
      </c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12">
        <v>3.62</v>
      </c>
      <c r="B836" s="12">
        <v>226.5</v>
      </c>
      <c r="C836" s="12">
        <v>518.6</v>
      </c>
      <c r="D836" s="12">
        <v>3.84</v>
      </c>
      <c r="E836" s="12">
        <v>0.63</v>
      </c>
      <c r="F836" s="12">
        <v>50.0</v>
      </c>
      <c r="G836" s="13">
        <v>44462.678993912035</v>
      </c>
      <c r="H836" s="14">
        <f>IFERROR(__xludf.DUMMYFUNCTION("SPLIT(G836, "", "")"),44462.0)</f>
        <v>44462</v>
      </c>
      <c r="I836" s="15">
        <f>IFERROR(__xludf.DUMMYFUNCTION("""COMPUTED_VALUE"""),0.6789930555555556)</f>
        <v>0.6789930556</v>
      </c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12">
        <v>3.62</v>
      </c>
      <c r="B837" s="12">
        <v>226.4</v>
      </c>
      <c r="C837" s="12">
        <v>518.6</v>
      </c>
      <c r="D837" s="12">
        <v>3.84</v>
      </c>
      <c r="E837" s="12">
        <v>0.63</v>
      </c>
      <c r="F837" s="12">
        <v>49.9</v>
      </c>
      <c r="G837" s="13">
        <v>44462.679095983796</v>
      </c>
      <c r="H837" s="14">
        <f>IFERROR(__xludf.DUMMYFUNCTION("SPLIT(G837, "", "")"),44462.0)</f>
        <v>44462</v>
      </c>
      <c r="I837" s="15">
        <f>IFERROR(__xludf.DUMMYFUNCTION("""COMPUTED_VALUE"""),0.6790972222222222)</f>
        <v>0.6790972222</v>
      </c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12">
        <v>3.62</v>
      </c>
      <c r="B838" s="12">
        <v>226.4</v>
      </c>
      <c r="C838" s="12">
        <v>518.7</v>
      </c>
      <c r="D838" s="12">
        <v>3.84</v>
      </c>
      <c r="E838" s="12">
        <v>0.63</v>
      </c>
      <c r="F838" s="12">
        <v>50.0</v>
      </c>
      <c r="G838" s="13">
        <v>44462.67920384259</v>
      </c>
      <c r="H838" s="14">
        <f>IFERROR(__xludf.DUMMYFUNCTION("SPLIT(G838, "", "")"),44462.0)</f>
        <v>44462</v>
      </c>
      <c r="I838" s="15">
        <f>IFERROR(__xludf.DUMMYFUNCTION("""COMPUTED_VALUE"""),0.6792013888888889)</f>
        <v>0.6792013889</v>
      </c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12">
        <v>3.63</v>
      </c>
      <c r="B839" s="12">
        <v>226.4</v>
      </c>
      <c r="C839" s="12">
        <v>518.8</v>
      </c>
      <c r="D839" s="12">
        <v>3.84</v>
      </c>
      <c r="E839" s="12">
        <v>0.63</v>
      </c>
      <c r="F839" s="12">
        <v>50.0</v>
      </c>
      <c r="G839" s="13">
        <v>44462.67930420139</v>
      </c>
      <c r="H839" s="14">
        <f>IFERROR(__xludf.DUMMYFUNCTION("SPLIT(G839, "", "")"),44462.0)</f>
        <v>44462</v>
      </c>
      <c r="I839" s="15">
        <f>IFERROR(__xludf.DUMMYFUNCTION("""COMPUTED_VALUE"""),0.6793055555555556)</f>
        <v>0.6793055556</v>
      </c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12">
        <v>3.62</v>
      </c>
      <c r="B840" s="12">
        <v>226.4</v>
      </c>
      <c r="C840" s="12">
        <v>518.8</v>
      </c>
      <c r="D840" s="12">
        <v>3.84</v>
      </c>
      <c r="E840" s="12">
        <v>0.63</v>
      </c>
      <c r="F840" s="12">
        <v>50.0</v>
      </c>
      <c r="G840" s="13">
        <v>44462.67940519676</v>
      </c>
      <c r="H840" s="14">
        <f>IFERROR(__xludf.DUMMYFUNCTION("SPLIT(G840, "", "")"),44462.0)</f>
        <v>44462</v>
      </c>
      <c r="I840" s="15">
        <f>IFERROR(__xludf.DUMMYFUNCTION("""COMPUTED_VALUE"""),0.6794097222222222)</f>
        <v>0.6794097222</v>
      </c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12">
        <v>3.62</v>
      </c>
      <c r="B841" s="12">
        <v>226.6</v>
      </c>
      <c r="C841" s="12">
        <v>518.9</v>
      </c>
      <c r="D841" s="12">
        <v>3.84</v>
      </c>
      <c r="E841" s="12">
        <v>0.63</v>
      </c>
      <c r="F841" s="12">
        <v>50.0</v>
      </c>
      <c r="G841" s="13">
        <v>44462.67950442129</v>
      </c>
      <c r="H841" s="14">
        <f>IFERROR(__xludf.DUMMYFUNCTION("SPLIT(G841, "", "")"),44462.0)</f>
        <v>44462</v>
      </c>
      <c r="I841" s="15">
        <f>IFERROR(__xludf.DUMMYFUNCTION("""COMPUTED_VALUE"""),0.6795023148148148)</f>
        <v>0.6795023148</v>
      </c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12">
        <v>3.62</v>
      </c>
      <c r="B842" s="12">
        <v>226.6</v>
      </c>
      <c r="C842" s="12">
        <v>518.9</v>
      </c>
      <c r="D842" s="12">
        <v>3.84</v>
      </c>
      <c r="E842" s="12">
        <v>0.63</v>
      </c>
      <c r="F842" s="12">
        <v>50.0</v>
      </c>
      <c r="G842" s="13">
        <v>44462.67960297454</v>
      </c>
      <c r="H842" s="14">
        <f>IFERROR(__xludf.DUMMYFUNCTION("SPLIT(G842, "", "")"),44462.0)</f>
        <v>44462</v>
      </c>
      <c r="I842" s="15">
        <f>IFERROR(__xludf.DUMMYFUNCTION("""COMPUTED_VALUE"""),0.6796064814814815)</f>
        <v>0.6796064815</v>
      </c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12">
        <v>3.63</v>
      </c>
      <c r="B843" s="12">
        <v>226.6</v>
      </c>
      <c r="C843" s="12">
        <v>518.9</v>
      </c>
      <c r="D843" s="12">
        <v>3.85</v>
      </c>
      <c r="E843" s="12">
        <v>0.63</v>
      </c>
      <c r="F843" s="12">
        <v>50.0</v>
      </c>
      <c r="G843" s="13">
        <v>44462.67970296297</v>
      </c>
      <c r="H843" s="14">
        <f>IFERROR(__xludf.DUMMYFUNCTION("SPLIT(G843, "", "")"),44462.0)</f>
        <v>44462</v>
      </c>
      <c r="I843" s="15">
        <f>IFERROR(__xludf.DUMMYFUNCTION("""COMPUTED_VALUE"""),0.679699074074074)</f>
        <v>0.6796990741</v>
      </c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12">
        <v>3.63</v>
      </c>
      <c r="B844" s="12">
        <v>226.6</v>
      </c>
      <c r="C844" s="12">
        <v>519.0</v>
      </c>
      <c r="D844" s="12">
        <v>3.85</v>
      </c>
      <c r="E844" s="12">
        <v>0.63</v>
      </c>
      <c r="F844" s="12">
        <v>50.0</v>
      </c>
      <c r="G844" s="13">
        <v>44462.67980586806</v>
      </c>
      <c r="H844" s="14">
        <f>IFERROR(__xludf.DUMMYFUNCTION("SPLIT(G844, "", "")"),44462.0)</f>
        <v>44462</v>
      </c>
      <c r="I844" s="15">
        <f>IFERROR(__xludf.DUMMYFUNCTION("""COMPUTED_VALUE"""),0.6798032407407407)</f>
        <v>0.6798032407</v>
      </c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12">
        <v>3.63</v>
      </c>
      <c r="B845" s="12">
        <v>226.7</v>
      </c>
      <c r="C845" s="12">
        <v>519.1</v>
      </c>
      <c r="D845" s="12">
        <v>3.85</v>
      </c>
      <c r="E845" s="12">
        <v>0.63</v>
      </c>
      <c r="F845" s="12">
        <v>50.0</v>
      </c>
      <c r="G845" s="13">
        <v>44462.67991515047</v>
      </c>
      <c r="H845" s="14">
        <f>IFERROR(__xludf.DUMMYFUNCTION("SPLIT(G845, "", "")"),44462.0)</f>
        <v>44462</v>
      </c>
      <c r="I845" s="15">
        <f>IFERROR(__xludf.DUMMYFUNCTION("""COMPUTED_VALUE"""),0.6799189814814814)</f>
        <v>0.6799189815</v>
      </c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12">
        <v>3.63</v>
      </c>
      <c r="B846" s="12">
        <v>226.7</v>
      </c>
      <c r="C846" s="12">
        <v>519.1</v>
      </c>
      <c r="D846" s="12">
        <v>3.85</v>
      </c>
      <c r="E846" s="12">
        <v>0.63</v>
      </c>
      <c r="F846" s="12">
        <v>50.0</v>
      </c>
      <c r="G846" s="13">
        <v>44462.68001428241</v>
      </c>
      <c r="H846" s="14">
        <f>IFERROR(__xludf.DUMMYFUNCTION("SPLIT(G846, "", "")"),44462.0)</f>
        <v>44462</v>
      </c>
      <c r="I846" s="15">
        <f>IFERROR(__xludf.DUMMYFUNCTION("""COMPUTED_VALUE"""),0.6800115740740741)</f>
        <v>0.6800115741</v>
      </c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12">
        <v>3.63</v>
      </c>
      <c r="B847" s="12">
        <v>226.6</v>
      </c>
      <c r="C847" s="12">
        <v>519.2</v>
      </c>
      <c r="D847" s="12">
        <v>3.85</v>
      </c>
      <c r="E847" s="12">
        <v>0.63</v>
      </c>
      <c r="F847" s="12">
        <v>50.0</v>
      </c>
      <c r="G847" s="13">
        <v>44462.68011869213</v>
      </c>
      <c r="H847" s="14">
        <f>IFERROR(__xludf.DUMMYFUNCTION("SPLIT(G847, "", "")"),44462.0)</f>
        <v>44462</v>
      </c>
      <c r="I847" s="15">
        <f>IFERROR(__xludf.DUMMYFUNCTION("""COMPUTED_VALUE"""),0.6801157407407408)</f>
        <v>0.6801157407</v>
      </c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12">
        <v>3.63</v>
      </c>
      <c r="B848" s="12">
        <v>226.6</v>
      </c>
      <c r="C848" s="12">
        <v>519.2</v>
      </c>
      <c r="D848" s="12">
        <v>3.85</v>
      </c>
      <c r="E848" s="12">
        <v>0.63</v>
      </c>
      <c r="F848" s="12">
        <v>50.0</v>
      </c>
      <c r="G848" s="13">
        <v>44462.68022671297</v>
      </c>
      <c r="H848" s="14">
        <f>IFERROR(__xludf.DUMMYFUNCTION("SPLIT(G848, "", "")"),44462.0)</f>
        <v>44462</v>
      </c>
      <c r="I848" s="15">
        <f>IFERROR(__xludf.DUMMYFUNCTION("""COMPUTED_VALUE"""),0.6802314814814815)</f>
        <v>0.6802314815</v>
      </c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12">
        <v>3.63</v>
      </c>
      <c r="B849" s="12">
        <v>226.8</v>
      </c>
      <c r="C849" s="12">
        <v>519.4</v>
      </c>
      <c r="D849" s="12">
        <v>3.85</v>
      </c>
      <c r="E849" s="12">
        <v>0.63</v>
      </c>
      <c r="F849" s="12">
        <v>50.0</v>
      </c>
      <c r="G849" s="13">
        <v>44462.68033128472</v>
      </c>
      <c r="H849" s="14">
        <f>IFERROR(__xludf.DUMMYFUNCTION("SPLIT(G849, "", "")"),44462.0)</f>
        <v>44462</v>
      </c>
      <c r="I849" s="15">
        <f>IFERROR(__xludf.DUMMYFUNCTION("""COMPUTED_VALUE"""),0.6803356481481482)</f>
        <v>0.6803356481</v>
      </c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12">
        <v>3.63</v>
      </c>
      <c r="B850" s="12">
        <v>226.7</v>
      </c>
      <c r="C850" s="12">
        <v>519.3</v>
      </c>
      <c r="D850" s="12">
        <v>3.86</v>
      </c>
      <c r="E850" s="12">
        <v>0.63</v>
      </c>
      <c r="F850" s="12">
        <v>50.0</v>
      </c>
      <c r="G850" s="13">
        <v>44462.68043586805</v>
      </c>
      <c r="H850" s="14">
        <f>IFERROR(__xludf.DUMMYFUNCTION("SPLIT(G850, "", "")"),44462.0)</f>
        <v>44462</v>
      </c>
      <c r="I850" s="15">
        <f>IFERROR(__xludf.DUMMYFUNCTION("""COMPUTED_VALUE"""),0.6804398148148149)</f>
        <v>0.6804398148</v>
      </c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12">
        <v>3.63</v>
      </c>
      <c r="B851" s="12">
        <v>226.7</v>
      </c>
      <c r="C851" s="12">
        <v>519.3</v>
      </c>
      <c r="D851" s="12">
        <v>3.86</v>
      </c>
      <c r="E851" s="12">
        <v>0.63</v>
      </c>
      <c r="F851" s="12">
        <v>49.9</v>
      </c>
      <c r="G851" s="13">
        <v>44462.680542511574</v>
      </c>
      <c r="H851" s="14">
        <f>IFERROR(__xludf.DUMMYFUNCTION("SPLIT(G851, "", "")"),44462.0)</f>
        <v>44462</v>
      </c>
      <c r="I851" s="15">
        <f>IFERROR(__xludf.DUMMYFUNCTION("""COMPUTED_VALUE"""),0.6805439814814814)</f>
        <v>0.6805439815</v>
      </c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12">
        <v>3.63</v>
      </c>
      <c r="B852" s="12">
        <v>226.7</v>
      </c>
      <c r="C852" s="12">
        <v>519.4</v>
      </c>
      <c r="D852" s="12">
        <v>3.86</v>
      </c>
      <c r="E852" s="12">
        <v>0.63</v>
      </c>
      <c r="F852" s="12">
        <v>49.9</v>
      </c>
      <c r="G852" s="13">
        <v>44462.68064611111</v>
      </c>
      <c r="H852" s="14">
        <f>IFERROR(__xludf.DUMMYFUNCTION("SPLIT(G852, "", "")"),44462.0)</f>
        <v>44462</v>
      </c>
      <c r="I852" s="15">
        <f>IFERROR(__xludf.DUMMYFUNCTION("""COMPUTED_VALUE"""),0.6806481481481481)</f>
        <v>0.6806481481</v>
      </c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12">
        <v>3.63</v>
      </c>
      <c r="B853" s="12">
        <v>226.6</v>
      </c>
      <c r="C853" s="12">
        <v>519.5</v>
      </c>
      <c r="D853" s="12">
        <v>3.86</v>
      </c>
      <c r="E853" s="12">
        <v>0.63</v>
      </c>
      <c r="F853" s="12">
        <v>49.9</v>
      </c>
      <c r="G853" s="13">
        <v>44462.680758483795</v>
      </c>
      <c r="H853" s="14">
        <f>IFERROR(__xludf.DUMMYFUNCTION("SPLIT(G853, "", "")"),44462.0)</f>
        <v>44462</v>
      </c>
      <c r="I853" s="15">
        <f>IFERROR(__xludf.DUMMYFUNCTION("""COMPUTED_VALUE"""),0.6807638888888888)</f>
        <v>0.6807638889</v>
      </c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12">
        <v>3.64</v>
      </c>
      <c r="B854" s="12">
        <v>226.6</v>
      </c>
      <c r="C854" s="12">
        <v>519.6</v>
      </c>
      <c r="D854" s="12">
        <v>3.86</v>
      </c>
      <c r="E854" s="12">
        <v>0.63</v>
      </c>
      <c r="F854" s="12">
        <v>49.9</v>
      </c>
      <c r="G854" s="13">
        <v>44462.68086502315</v>
      </c>
      <c r="H854" s="14">
        <f>IFERROR(__xludf.DUMMYFUNCTION("SPLIT(G854, "", "")"),44462.0)</f>
        <v>44462</v>
      </c>
      <c r="I854" s="15">
        <f>IFERROR(__xludf.DUMMYFUNCTION("""COMPUTED_VALUE"""),0.6808680555555555)</f>
        <v>0.6808680556</v>
      </c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12">
        <v>3.63</v>
      </c>
      <c r="B855" s="12">
        <v>226.8</v>
      </c>
      <c r="C855" s="12">
        <v>519.5</v>
      </c>
      <c r="D855" s="12">
        <v>3.86</v>
      </c>
      <c r="E855" s="12">
        <v>0.63</v>
      </c>
      <c r="F855" s="12">
        <v>49.9</v>
      </c>
      <c r="G855" s="13">
        <v>44462.680971354166</v>
      </c>
      <c r="H855" s="14">
        <f>IFERROR(__xludf.DUMMYFUNCTION("SPLIT(G855, "", "")"),44462.0)</f>
        <v>44462</v>
      </c>
      <c r="I855" s="15">
        <f>IFERROR(__xludf.DUMMYFUNCTION("""COMPUTED_VALUE"""),0.6809722222222222)</f>
        <v>0.6809722222</v>
      </c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12">
        <v>3.63</v>
      </c>
      <c r="B856" s="12">
        <v>226.9</v>
      </c>
      <c r="C856" s="12">
        <v>519.6</v>
      </c>
      <c r="D856" s="12">
        <v>3.86</v>
      </c>
      <c r="E856" s="12">
        <v>0.63</v>
      </c>
      <c r="F856" s="12">
        <v>50.0</v>
      </c>
      <c r="G856" s="13">
        <v>44462.68107990741</v>
      </c>
      <c r="H856" s="14">
        <f>IFERROR(__xludf.DUMMYFUNCTION("SPLIT(G856, "", "")"),44462.0)</f>
        <v>44462</v>
      </c>
      <c r="I856" s="15">
        <f>IFERROR(__xludf.DUMMYFUNCTION("""COMPUTED_VALUE"""),0.6810763888888889)</f>
        <v>0.6810763889</v>
      </c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12">
        <v>3.62</v>
      </c>
      <c r="B857" s="12">
        <v>227.0</v>
      </c>
      <c r="C857" s="12">
        <v>519.6</v>
      </c>
      <c r="D857" s="12">
        <v>3.86</v>
      </c>
      <c r="E857" s="12">
        <v>0.63</v>
      </c>
      <c r="F857" s="12">
        <v>50.0</v>
      </c>
      <c r="G857" s="13">
        <v>44462.68119495371</v>
      </c>
      <c r="H857" s="14">
        <f>IFERROR(__xludf.DUMMYFUNCTION("SPLIT(G857, "", "")"),44462.0)</f>
        <v>44462</v>
      </c>
      <c r="I857" s="15">
        <f>IFERROR(__xludf.DUMMYFUNCTION("""COMPUTED_VALUE"""),0.6811921296296296)</f>
        <v>0.6811921296</v>
      </c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12">
        <v>3.62</v>
      </c>
      <c r="B858" s="12">
        <v>227.2</v>
      </c>
      <c r="C858" s="12">
        <v>519.8</v>
      </c>
      <c r="D858" s="12">
        <v>3.87</v>
      </c>
      <c r="E858" s="12">
        <v>0.63</v>
      </c>
      <c r="F858" s="12">
        <v>50.0</v>
      </c>
      <c r="G858" s="13">
        <v>44462.6813049537</v>
      </c>
      <c r="H858" s="14">
        <f>IFERROR(__xludf.DUMMYFUNCTION("SPLIT(G858, "", "")"),44462.0)</f>
        <v>44462</v>
      </c>
      <c r="I858" s="15">
        <f>IFERROR(__xludf.DUMMYFUNCTION("""COMPUTED_VALUE"""),0.6813078703703703)</f>
        <v>0.6813078704</v>
      </c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12">
        <v>3.63</v>
      </c>
      <c r="B859" s="12">
        <v>227.2</v>
      </c>
      <c r="C859" s="12">
        <v>519.8</v>
      </c>
      <c r="D859" s="12">
        <v>3.87</v>
      </c>
      <c r="E859" s="12">
        <v>0.63</v>
      </c>
      <c r="F859" s="12">
        <v>50.0</v>
      </c>
      <c r="G859" s="13">
        <v>44462.68140990741</v>
      </c>
      <c r="H859" s="14">
        <f>IFERROR(__xludf.DUMMYFUNCTION("SPLIT(G859, "", "")"),44462.0)</f>
        <v>44462</v>
      </c>
      <c r="I859" s="15">
        <f>IFERROR(__xludf.DUMMYFUNCTION("""COMPUTED_VALUE"""),0.681412037037037)</f>
        <v>0.681412037</v>
      </c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12">
        <v>3.63</v>
      </c>
      <c r="B860" s="12">
        <v>227.1</v>
      </c>
      <c r="C860" s="12">
        <v>519.8</v>
      </c>
      <c r="D860" s="12">
        <v>3.87</v>
      </c>
      <c r="E860" s="12">
        <v>0.63</v>
      </c>
      <c r="F860" s="12">
        <v>50.0</v>
      </c>
      <c r="G860" s="13">
        <v>44462.68151246528</v>
      </c>
      <c r="H860" s="14">
        <f>IFERROR(__xludf.DUMMYFUNCTION("SPLIT(G860, "", "")"),44462.0)</f>
        <v>44462</v>
      </c>
      <c r="I860" s="15">
        <f>IFERROR(__xludf.DUMMYFUNCTION("""COMPUTED_VALUE"""),0.6815162037037037)</f>
        <v>0.6815162037</v>
      </c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12">
        <v>3.63</v>
      </c>
      <c r="B861" s="12">
        <v>227.1</v>
      </c>
      <c r="C861" s="12">
        <v>519.9</v>
      </c>
      <c r="D861" s="12">
        <v>3.87</v>
      </c>
      <c r="E861" s="12">
        <v>0.63</v>
      </c>
      <c r="F861" s="12">
        <v>50.0</v>
      </c>
      <c r="G861" s="13">
        <v>44462.68161384259</v>
      </c>
      <c r="H861" s="14">
        <f>IFERROR(__xludf.DUMMYFUNCTION("SPLIT(G861, "", "")"),44462.0)</f>
        <v>44462</v>
      </c>
      <c r="I861" s="15">
        <f>IFERROR(__xludf.DUMMYFUNCTION("""COMPUTED_VALUE"""),0.6816087962962963)</f>
        <v>0.6816087963</v>
      </c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12">
        <v>3.63</v>
      </c>
      <c r="B862" s="12">
        <v>226.9</v>
      </c>
      <c r="C862" s="12">
        <v>519.9</v>
      </c>
      <c r="D862" s="12">
        <v>3.87</v>
      </c>
      <c r="E862" s="12">
        <v>0.63</v>
      </c>
      <c r="F862" s="12">
        <v>50.0</v>
      </c>
      <c r="G862" s="13">
        <v>44462.6817153125</v>
      </c>
      <c r="H862" s="14">
        <f>IFERROR(__xludf.DUMMYFUNCTION("SPLIT(G862, "", "")"),44462.0)</f>
        <v>44462</v>
      </c>
      <c r="I862" s="15">
        <f>IFERROR(__xludf.DUMMYFUNCTION("""COMPUTED_VALUE"""),0.6817129629629629)</f>
        <v>0.681712963</v>
      </c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12">
        <v>3.63</v>
      </c>
      <c r="B863" s="12">
        <v>226.9</v>
      </c>
      <c r="C863" s="12">
        <v>520.0</v>
      </c>
      <c r="D863" s="12">
        <v>3.87</v>
      </c>
      <c r="E863" s="12">
        <v>0.63</v>
      </c>
      <c r="F863" s="12">
        <v>50.0</v>
      </c>
      <c r="G863" s="13">
        <v>44462.681818784724</v>
      </c>
      <c r="H863" s="14">
        <f>IFERROR(__xludf.DUMMYFUNCTION("SPLIT(G863, "", "")"),44462.0)</f>
        <v>44462</v>
      </c>
      <c r="I863" s="15">
        <f>IFERROR(__xludf.DUMMYFUNCTION("""COMPUTED_VALUE"""),0.6818171296296296)</f>
        <v>0.6818171296</v>
      </c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12">
        <v>3.63</v>
      </c>
      <c r="B864" s="12">
        <v>226.9</v>
      </c>
      <c r="C864" s="12">
        <v>520.0</v>
      </c>
      <c r="D864" s="12">
        <v>3.87</v>
      </c>
      <c r="E864" s="12">
        <v>0.63</v>
      </c>
      <c r="F864" s="12">
        <v>50.0</v>
      </c>
      <c r="G864" s="13">
        <v>44462.681924375</v>
      </c>
      <c r="H864" s="14">
        <f>IFERROR(__xludf.DUMMYFUNCTION("SPLIT(G864, "", "")"),44462.0)</f>
        <v>44462</v>
      </c>
      <c r="I864" s="15">
        <f>IFERROR(__xludf.DUMMYFUNCTION("""COMPUTED_VALUE"""),0.6819212962962963)</f>
        <v>0.6819212963</v>
      </c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12">
        <v>3.64</v>
      </c>
      <c r="B865" s="12">
        <v>226.8</v>
      </c>
      <c r="C865" s="12">
        <v>520.1</v>
      </c>
      <c r="D865" s="12">
        <v>3.88</v>
      </c>
      <c r="E865" s="12">
        <v>0.63</v>
      </c>
      <c r="F865" s="12">
        <v>50.0</v>
      </c>
      <c r="G865" s="13">
        <v>44462.6820372338</v>
      </c>
      <c r="H865" s="14">
        <f>IFERROR(__xludf.DUMMYFUNCTION("SPLIT(G865, "", "")"),44462.0)</f>
        <v>44462</v>
      </c>
      <c r="I865" s="15">
        <f>IFERROR(__xludf.DUMMYFUNCTION("""COMPUTED_VALUE"""),0.682037037037037)</f>
        <v>0.682037037</v>
      </c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12">
        <v>3.63</v>
      </c>
      <c r="B866" s="12">
        <v>227.1</v>
      </c>
      <c r="C866" s="12">
        <v>520.2</v>
      </c>
      <c r="D866" s="12">
        <v>3.88</v>
      </c>
      <c r="E866" s="12">
        <v>0.63</v>
      </c>
      <c r="F866" s="12">
        <v>50.0</v>
      </c>
      <c r="G866" s="13">
        <v>44462.6821541088</v>
      </c>
      <c r="H866" s="14">
        <f>IFERROR(__xludf.DUMMYFUNCTION("SPLIT(G866, "", "")"),44462.0)</f>
        <v>44462</v>
      </c>
      <c r="I866" s="15">
        <f>IFERROR(__xludf.DUMMYFUNCTION("""COMPUTED_VALUE"""),0.6821527777777778)</f>
        <v>0.6821527778</v>
      </c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12">
        <v>3.63</v>
      </c>
      <c r="B867" s="12">
        <v>227.0</v>
      </c>
      <c r="C867" s="12">
        <v>520.2</v>
      </c>
      <c r="D867" s="12">
        <v>3.88</v>
      </c>
      <c r="E867" s="12">
        <v>0.63</v>
      </c>
      <c r="F867" s="12">
        <v>50.0</v>
      </c>
      <c r="G867" s="13">
        <v>44462.682257962966</v>
      </c>
      <c r="H867" s="14">
        <f>IFERROR(__xludf.DUMMYFUNCTION("SPLIT(G867, "", "")"),44462.0)</f>
        <v>44462</v>
      </c>
      <c r="I867" s="15">
        <f>IFERROR(__xludf.DUMMYFUNCTION("""COMPUTED_VALUE"""),0.6822569444444444)</f>
        <v>0.6822569444</v>
      </c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12">
        <v>3.63</v>
      </c>
      <c r="B868" s="12">
        <v>227.2</v>
      </c>
      <c r="C868" s="12">
        <v>520.3</v>
      </c>
      <c r="D868" s="12">
        <v>3.88</v>
      </c>
      <c r="E868" s="12">
        <v>0.63</v>
      </c>
      <c r="F868" s="12">
        <v>50.0</v>
      </c>
      <c r="G868" s="13">
        <v>44462.682367245376</v>
      </c>
      <c r="H868" s="14">
        <f>IFERROR(__xludf.DUMMYFUNCTION("SPLIT(G868, "", "")"),44462.0)</f>
        <v>44462</v>
      </c>
      <c r="I868" s="15">
        <f>IFERROR(__xludf.DUMMYFUNCTION("""COMPUTED_VALUE"""),0.6823726851851852)</f>
        <v>0.6823726852</v>
      </c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12">
        <v>3.63</v>
      </c>
      <c r="B869" s="12">
        <v>227.2</v>
      </c>
      <c r="C869" s="12">
        <v>520.2</v>
      </c>
      <c r="D869" s="12">
        <v>3.88</v>
      </c>
      <c r="E869" s="12">
        <v>0.63</v>
      </c>
      <c r="F869" s="12">
        <v>50.0</v>
      </c>
      <c r="G869" s="13">
        <v>44462.68247371528</v>
      </c>
      <c r="H869" s="14">
        <f>IFERROR(__xludf.DUMMYFUNCTION("SPLIT(G869, "", "")"),44462.0)</f>
        <v>44462</v>
      </c>
      <c r="I869" s="15">
        <f>IFERROR(__xludf.DUMMYFUNCTION("""COMPUTED_VALUE"""),0.6824768518518518)</f>
        <v>0.6824768519</v>
      </c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12">
        <v>3.62</v>
      </c>
      <c r="B870" s="12">
        <v>227.1</v>
      </c>
      <c r="C870" s="12">
        <v>520.3</v>
      </c>
      <c r="D870" s="12">
        <v>3.88</v>
      </c>
      <c r="E870" s="12">
        <v>0.63</v>
      </c>
      <c r="F870" s="12">
        <v>50.0</v>
      </c>
      <c r="G870" s="13">
        <v>44462.68257956018</v>
      </c>
      <c r="H870" s="14">
        <f>IFERROR(__xludf.DUMMYFUNCTION("SPLIT(G870, "", "")"),44462.0)</f>
        <v>44462</v>
      </c>
      <c r="I870" s="15">
        <f>IFERROR(__xludf.DUMMYFUNCTION("""COMPUTED_VALUE"""),0.6825810185185185)</f>
        <v>0.6825810185</v>
      </c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12">
        <v>3.63</v>
      </c>
      <c r="B871" s="12">
        <v>227.1</v>
      </c>
      <c r="C871" s="12">
        <v>520.5</v>
      </c>
      <c r="D871" s="12">
        <v>3.88</v>
      </c>
      <c r="E871" s="12">
        <v>0.63</v>
      </c>
      <c r="F871" s="12">
        <v>50.0</v>
      </c>
      <c r="G871" s="13">
        <v>44462.682690671296</v>
      </c>
      <c r="H871" s="14">
        <f>IFERROR(__xludf.DUMMYFUNCTION("SPLIT(G871, "", "")"),44462.0)</f>
        <v>44462</v>
      </c>
      <c r="I871" s="15">
        <f>IFERROR(__xludf.DUMMYFUNCTION("""COMPUTED_VALUE"""),0.6826851851851852)</f>
        <v>0.6826851852</v>
      </c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12">
        <v>3.63</v>
      </c>
      <c r="B872" s="12">
        <v>227.1</v>
      </c>
      <c r="C872" s="12">
        <v>520.4</v>
      </c>
      <c r="D872" s="12">
        <v>3.88</v>
      </c>
      <c r="E872" s="12">
        <v>0.63</v>
      </c>
      <c r="F872" s="12">
        <v>50.0</v>
      </c>
      <c r="G872" s="13">
        <v>44462.68279228009</v>
      </c>
      <c r="H872" s="14">
        <f>IFERROR(__xludf.DUMMYFUNCTION("SPLIT(G872, "", "")"),44462.0)</f>
        <v>44462</v>
      </c>
      <c r="I872" s="15">
        <f>IFERROR(__xludf.DUMMYFUNCTION("""COMPUTED_VALUE"""),0.6827893518518519)</f>
        <v>0.6827893519</v>
      </c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12">
        <v>3.62</v>
      </c>
      <c r="B873" s="12">
        <v>227.1</v>
      </c>
      <c r="C873" s="12">
        <v>520.5</v>
      </c>
      <c r="D873" s="12">
        <v>3.89</v>
      </c>
      <c r="E873" s="12">
        <v>0.63</v>
      </c>
      <c r="F873" s="12">
        <v>50.0</v>
      </c>
      <c r="G873" s="13">
        <v>44462.6828953125</v>
      </c>
      <c r="H873" s="14">
        <f>IFERROR(__xludf.DUMMYFUNCTION("SPLIT(G873, "", "")"),44462.0)</f>
        <v>44462</v>
      </c>
      <c r="I873" s="15">
        <f>IFERROR(__xludf.DUMMYFUNCTION("""COMPUTED_VALUE"""),0.6828935185185185)</f>
        <v>0.6828935185</v>
      </c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12">
        <v>3.63</v>
      </c>
      <c r="B874" s="12">
        <v>227.1</v>
      </c>
      <c r="C874" s="12">
        <v>520.5</v>
      </c>
      <c r="D874" s="12">
        <v>3.89</v>
      </c>
      <c r="E874" s="12">
        <v>0.63</v>
      </c>
      <c r="F874" s="12">
        <v>50.0</v>
      </c>
      <c r="G874" s="13">
        <v>44462.68299984954</v>
      </c>
      <c r="H874" s="14">
        <f>IFERROR(__xludf.DUMMYFUNCTION("SPLIT(G874, "", "")"),44462.0)</f>
        <v>44462</v>
      </c>
      <c r="I874" s="15">
        <f>IFERROR(__xludf.DUMMYFUNCTION("""COMPUTED_VALUE"""),0.6829976851851852)</f>
        <v>0.6829976852</v>
      </c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12">
        <v>3.62</v>
      </c>
      <c r="B875" s="12">
        <v>227.2</v>
      </c>
      <c r="C875" s="12">
        <v>520.6</v>
      </c>
      <c r="D875" s="12">
        <v>3.89</v>
      </c>
      <c r="E875" s="12">
        <v>0.63</v>
      </c>
      <c r="F875" s="12">
        <v>50.0</v>
      </c>
      <c r="G875" s="13">
        <v>44462.68310353009</v>
      </c>
      <c r="H875" s="14">
        <f>IFERROR(__xludf.DUMMYFUNCTION("SPLIT(G875, "", "")"),44462.0)</f>
        <v>44462</v>
      </c>
      <c r="I875" s="15">
        <f>IFERROR(__xludf.DUMMYFUNCTION("""COMPUTED_VALUE"""),0.6831018518518519)</f>
        <v>0.6831018519</v>
      </c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12">
        <v>3.62</v>
      </c>
      <c r="B876" s="12">
        <v>227.3</v>
      </c>
      <c r="C876" s="12">
        <v>520.6</v>
      </c>
      <c r="D876" s="12">
        <v>3.89</v>
      </c>
      <c r="E876" s="12">
        <v>0.63</v>
      </c>
      <c r="F876" s="12">
        <v>50.0</v>
      </c>
      <c r="G876" s="13">
        <v>44462.68320431713</v>
      </c>
      <c r="H876" s="14">
        <f>IFERROR(__xludf.DUMMYFUNCTION("SPLIT(G876, "", "")"),44462.0)</f>
        <v>44462</v>
      </c>
      <c r="I876" s="15">
        <f>IFERROR(__xludf.DUMMYFUNCTION("""COMPUTED_VALUE"""),0.6832060185185185)</f>
        <v>0.6832060185</v>
      </c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12">
        <v>3.63</v>
      </c>
      <c r="B877" s="12">
        <v>227.2</v>
      </c>
      <c r="C877" s="12">
        <v>520.7</v>
      </c>
      <c r="D877" s="12">
        <v>3.89</v>
      </c>
      <c r="E877" s="12">
        <v>0.63</v>
      </c>
      <c r="F877" s="12">
        <v>50.0</v>
      </c>
      <c r="G877" s="13">
        <v>44462.683308078704</v>
      </c>
      <c r="H877" s="14">
        <f>IFERROR(__xludf.DUMMYFUNCTION("SPLIT(G877, "", "")"),44462.0)</f>
        <v>44462</v>
      </c>
      <c r="I877" s="15">
        <f>IFERROR(__xludf.DUMMYFUNCTION("""COMPUTED_VALUE"""),0.6833101851851852)</f>
        <v>0.6833101852</v>
      </c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12">
        <v>3.62</v>
      </c>
      <c r="B878" s="12">
        <v>227.4</v>
      </c>
      <c r="C878" s="12">
        <v>520.8</v>
      </c>
      <c r="D878" s="12">
        <v>3.89</v>
      </c>
      <c r="E878" s="12">
        <v>0.63</v>
      </c>
      <c r="F878" s="12">
        <v>50.0</v>
      </c>
      <c r="G878" s="13">
        <v>44462.6834149537</v>
      </c>
      <c r="H878" s="14">
        <f>IFERROR(__xludf.DUMMYFUNCTION("SPLIT(G878, "", "")"),44462.0)</f>
        <v>44462</v>
      </c>
      <c r="I878" s="15">
        <f>IFERROR(__xludf.DUMMYFUNCTION("""COMPUTED_VALUE"""),0.6834143518518518)</f>
        <v>0.6834143519</v>
      </c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12">
        <v>3.63</v>
      </c>
      <c r="B879" s="12">
        <v>227.2</v>
      </c>
      <c r="C879" s="12">
        <v>520.9</v>
      </c>
      <c r="D879" s="12">
        <v>3.89</v>
      </c>
      <c r="E879" s="12">
        <v>0.63</v>
      </c>
      <c r="F879" s="12">
        <v>50.0</v>
      </c>
      <c r="G879" s="13">
        <v>44462.68351512731</v>
      </c>
      <c r="H879" s="14">
        <f>IFERROR(__xludf.DUMMYFUNCTION("SPLIT(G879, "", "")"),44462.0)</f>
        <v>44462</v>
      </c>
      <c r="I879" s="15">
        <f>IFERROR(__xludf.DUMMYFUNCTION("""COMPUTED_VALUE"""),0.6835185185185185)</f>
        <v>0.6835185185</v>
      </c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12">
        <v>3.63</v>
      </c>
      <c r="B880" s="12">
        <v>227.3</v>
      </c>
      <c r="C880" s="12">
        <v>520.9</v>
      </c>
      <c r="D880" s="12">
        <v>3.89</v>
      </c>
      <c r="E880" s="12">
        <v>0.63</v>
      </c>
      <c r="F880" s="12">
        <v>50.0</v>
      </c>
      <c r="G880" s="13">
        <v>44462.683616863425</v>
      </c>
      <c r="H880" s="14">
        <f>IFERROR(__xludf.DUMMYFUNCTION("SPLIT(G880, "", "")"),44462.0)</f>
        <v>44462</v>
      </c>
      <c r="I880" s="15">
        <f>IFERROR(__xludf.DUMMYFUNCTION("""COMPUTED_VALUE"""),0.6836111111111111)</f>
        <v>0.6836111111</v>
      </c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12">
        <v>3.63</v>
      </c>
      <c r="B881" s="12">
        <v>227.3</v>
      </c>
      <c r="C881" s="12">
        <v>520.9</v>
      </c>
      <c r="D881" s="12">
        <v>3.9</v>
      </c>
      <c r="E881" s="12">
        <v>0.63</v>
      </c>
      <c r="F881" s="12">
        <v>50.0</v>
      </c>
      <c r="G881" s="13">
        <v>44462.68371666667</v>
      </c>
      <c r="H881" s="14">
        <f>IFERROR(__xludf.DUMMYFUNCTION("SPLIT(G881, "", "")"),44462.0)</f>
        <v>44462</v>
      </c>
      <c r="I881" s="15">
        <f>IFERROR(__xludf.DUMMYFUNCTION("""COMPUTED_VALUE"""),0.6837152777777777)</f>
        <v>0.6837152778</v>
      </c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12">
        <v>3.63</v>
      </c>
      <c r="B882" s="12">
        <v>227.3</v>
      </c>
      <c r="C882" s="12">
        <v>520.9</v>
      </c>
      <c r="D882" s="12">
        <v>3.9</v>
      </c>
      <c r="E882" s="12">
        <v>0.63</v>
      </c>
      <c r="F882" s="12">
        <v>50.0</v>
      </c>
      <c r="G882" s="13">
        <v>44462.68381721065</v>
      </c>
      <c r="H882" s="14">
        <f>IFERROR(__xludf.DUMMYFUNCTION("SPLIT(G882, "", "")"),44462.0)</f>
        <v>44462</v>
      </c>
      <c r="I882" s="15">
        <f>IFERROR(__xludf.DUMMYFUNCTION("""COMPUTED_VALUE"""),0.6838194444444444)</f>
        <v>0.6838194444</v>
      </c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12">
        <v>3.63</v>
      </c>
      <c r="B883" s="12">
        <v>227.3</v>
      </c>
      <c r="C883" s="12">
        <v>520.9</v>
      </c>
      <c r="D883" s="12">
        <v>3.9</v>
      </c>
      <c r="E883" s="12">
        <v>0.63</v>
      </c>
      <c r="F883" s="12">
        <v>50.0</v>
      </c>
      <c r="G883" s="13">
        <v>44462.68391832176</v>
      </c>
      <c r="H883" s="14">
        <f>IFERROR(__xludf.DUMMYFUNCTION("SPLIT(G883, "", "")"),44462.0)</f>
        <v>44462</v>
      </c>
      <c r="I883" s="15">
        <f>IFERROR(__xludf.DUMMYFUNCTION("""COMPUTED_VALUE"""),0.6839236111111111)</f>
        <v>0.6839236111</v>
      </c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12">
        <v>3.63</v>
      </c>
      <c r="B884" s="12">
        <v>227.4</v>
      </c>
      <c r="C884" s="12">
        <v>521.0</v>
      </c>
      <c r="D884" s="12">
        <v>3.9</v>
      </c>
      <c r="E884" s="12">
        <v>0.63</v>
      </c>
      <c r="F884" s="12">
        <v>50.0</v>
      </c>
      <c r="G884" s="13">
        <v>44462.684022905094</v>
      </c>
      <c r="H884" s="14">
        <f>IFERROR(__xludf.DUMMYFUNCTION("SPLIT(G884, "", "")"),44462.0)</f>
        <v>44462</v>
      </c>
      <c r="I884" s="15">
        <f>IFERROR(__xludf.DUMMYFUNCTION("""COMPUTED_VALUE"""),0.6840277777777778)</f>
        <v>0.6840277778</v>
      </c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12">
        <v>3.62</v>
      </c>
      <c r="B885" s="12">
        <v>227.4</v>
      </c>
      <c r="C885" s="12">
        <v>521.0</v>
      </c>
      <c r="D885" s="12">
        <v>3.9</v>
      </c>
      <c r="E885" s="12">
        <v>0.63</v>
      </c>
      <c r="F885" s="12">
        <v>50.0</v>
      </c>
      <c r="G885" s="13">
        <v>44462.684131574075</v>
      </c>
      <c r="H885" s="14">
        <f>IFERROR(__xludf.DUMMYFUNCTION("SPLIT(G885, "", "")"),44462.0)</f>
        <v>44462</v>
      </c>
      <c r="I885" s="15">
        <f>IFERROR(__xludf.DUMMYFUNCTION("""COMPUTED_VALUE"""),0.6841319444444445)</f>
        <v>0.6841319444</v>
      </c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12">
        <v>3.63</v>
      </c>
      <c r="B886" s="12">
        <v>227.4</v>
      </c>
      <c r="C886" s="12">
        <v>521.1</v>
      </c>
      <c r="D886" s="12">
        <v>3.9</v>
      </c>
      <c r="E886" s="12">
        <v>0.63</v>
      </c>
      <c r="F886" s="12">
        <v>50.0</v>
      </c>
      <c r="G886" s="13">
        <v>44462.68423806713</v>
      </c>
      <c r="H886" s="14">
        <f>IFERROR(__xludf.DUMMYFUNCTION("SPLIT(G886, "", "")"),44462.0)</f>
        <v>44462</v>
      </c>
      <c r="I886" s="15">
        <f>IFERROR(__xludf.DUMMYFUNCTION("""COMPUTED_VALUE"""),0.6842361111111112)</f>
        <v>0.6842361111</v>
      </c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12">
        <v>3.63</v>
      </c>
      <c r="B887" s="12">
        <v>227.3</v>
      </c>
      <c r="C887" s="12">
        <v>521.2</v>
      </c>
      <c r="D887" s="12">
        <v>3.9</v>
      </c>
      <c r="E887" s="12">
        <v>0.63</v>
      </c>
      <c r="F887" s="12">
        <v>49.9</v>
      </c>
      <c r="G887" s="13">
        <v>44462.68434587963</v>
      </c>
      <c r="H887" s="14">
        <f>IFERROR(__xludf.DUMMYFUNCTION("SPLIT(G887, "", "")"),44462.0)</f>
        <v>44462</v>
      </c>
      <c r="I887" s="15">
        <f>IFERROR(__xludf.DUMMYFUNCTION("""COMPUTED_VALUE"""),0.6843402777777777)</f>
        <v>0.6843402778</v>
      </c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12">
        <v>3.63</v>
      </c>
      <c r="B888" s="12">
        <v>227.3</v>
      </c>
      <c r="C888" s="12">
        <v>521.2</v>
      </c>
      <c r="D888" s="12">
        <v>3.9</v>
      </c>
      <c r="E888" s="12">
        <v>0.63</v>
      </c>
      <c r="F888" s="12">
        <v>49.9</v>
      </c>
      <c r="G888" s="13">
        <v>44462.68445559028</v>
      </c>
      <c r="H888" s="14">
        <f>IFERROR(__xludf.DUMMYFUNCTION("SPLIT(G888, "", "")"),44462.0)</f>
        <v>44462</v>
      </c>
      <c r="I888" s="15">
        <f>IFERROR(__xludf.DUMMYFUNCTION("""COMPUTED_VALUE"""),0.6844560185185186)</f>
        <v>0.6844560185</v>
      </c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12">
        <v>3.63</v>
      </c>
      <c r="B889" s="12">
        <v>227.4</v>
      </c>
      <c r="C889" s="12">
        <v>521.3</v>
      </c>
      <c r="D889" s="12">
        <v>3.91</v>
      </c>
      <c r="E889" s="12">
        <v>0.63</v>
      </c>
      <c r="F889" s="12">
        <v>50.0</v>
      </c>
      <c r="G889" s="13">
        <v>44462.68456311343</v>
      </c>
      <c r="H889" s="14">
        <f>IFERROR(__xludf.DUMMYFUNCTION("SPLIT(G889, "", "")"),44462.0)</f>
        <v>44462</v>
      </c>
      <c r="I889" s="15">
        <f>IFERROR(__xludf.DUMMYFUNCTION("""COMPUTED_VALUE"""),0.6845601851851851)</f>
        <v>0.6845601852</v>
      </c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12">
        <v>3.64</v>
      </c>
      <c r="B890" s="12">
        <v>227.3</v>
      </c>
      <c r="C890" s="12">
        <v>521.4</v>
      </c>
      <c r="D890" s="12">
        <v>3.91</v>
      </c>
      <c r="E890" s="12">
        <v>0.63</v>
      </c>
      <c r="F890" s="12">
        <v>50.0</v>
      </c>
      <c r="G890" s="13">
        <v>44462.68466456018</v>
      </c>
      <c r="H890" s="14">
        <f>IFERROR(__xludf.DUMMYFUNCTION("SPLIT(G890, "", "")"),44462.0)</f>
        <v>44462</v>
      </c>
      <c r="I890" s="15">
        <f>IFERROR(__xludf.DUMMYFUNCTION("""COMPUTED_VALUE"""),0.6846643518518518)</f>
        <v>0.6846643519</v>
      </c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12">
        <v>3.62</v>
      </c>
      <c r="B891" s="12">
        <v>227.5</v>
      </c>
      <c r="C891" s="12">
        <v>521.3</v>
      </c>
      <c r="D891" s="12">
        <v>3.91</v>
      </c>
      <c r="E891" s="12">
        <v>0.63</v>
      </c>
      <c r="F891" s="12">
        <v>50.0</v>
      </c>
      <c r="G891" s="13">
        <v>44462.684765694445</v>
      </c>
      <c r="H891" s="14">
        <f>IFERROR(__xludf.DUMMYFUNCTION("SPLIT(G891, "", "")"),44462.0)</f>
        <v>44462</v>
      </c>
      <c r="I891" s="15">
        <f>IFERROR(__xludf.DUMMYFUNCTION("""COMPUTED_VALUE"""),0.6847685185185185)</f>
        <v>0.6847685185</v>
      </c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12">
        <v>3.63</v>
      </c>
      <c r="B892" s="12">
        <v>227.5</v>
      </c>
      <c r="C892" s="12">
        <v>521.5</v>
      </c>
      <c r="D892" s="12">
        <v>3.91</v>
      </c>
      <c r="E892" s="12">
        <v>0.63</v>
      </c>
      <c r="F892" s="12">
        <v>50.0</v>
      </c>
      <c r="G892" s="13">
        <v>44462.68487003472</v>
      </c>
      <c r="H892" s="14">
        <f>IFERROR(__xludf.DUMMYFUNCTION("SPLIT(G892, "", "")"),44462.0)</f>
        <v>44462</v>
      </c>
      <c r="I892" s="15">
        <f>IFERROR(__xludf.DUMMYFUNCTION("""COMPUTED_VALUE"""),0.6848726851851852)</f>
        <v>0.6848726852</v>
      </c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12">
        <v>3.64</v>
      </c>
      <c r="B893" s="12">
        <v>227.5</v>
      </c>
      <c r="C893" s="12">
        <v>521.6</v>
      </c>
      <c r="D893" s="12">
        <v>3.91</v>
      </c>
      <c r="E893" s="12">
        <v>0.63</v>
      </c>
      <c r="F893" s="12">
        <v>50.0</v>
      </c>
      <c r="G893" s="13">
        <v>44462.68497643519</v>
      </c>
      <c r="H893" s="14">
        <f>IFERROR(__xludf.DUMMYFUNCTION("SPLIT(G893, "", "")"),44462.0)</f>
        <v>44462</v>
      </c>
      <c r="I893" s="15">
        <f>IFERROR(__xludf.DUMMYFUNCTION("""COMPUTED_VALUE"""),0.6849768518518519)</f>
        <v>0.6849768519</v>
      </c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12">
        <v>3.63</v>
      </c>
      <c r="B894" s="12">
        <v>227.6</v>
      </c>
      <c r="C894" s="12">
        <v>521.6</v>
      </c>
      <c r="D894" s="12">
        <v>3.91</v>
      </c>
      <c r="E894" s="12">
        <v>0.63</v>
      </c>
      <c r="F894" s="12">
        <v>50.0</v>
      </c>
      <c r="G894" s="13">
        <v>44462.68507748842</v>
      </c>
      <c r="H894" s="14">
        <f>IFERROR(__xludf.DUMMYFUNCTION("SPLIT(G894, "", "")"),44462.0)</f>
        <v>44462</v>
      </c>
      <c r="I894" s="15">
        <f>IFERROR(__xludf.DUMMYFUNCTION("""COMPUTED_VALUE"""),0.6850810185185185)</f>
        <v>0.6850810185</v>
      </c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12">
        <v>3.63</v>
      </c>
      <c r="B895" s="12">
        <v>227.4</v>
      </c>
      <c r="C895" s="12">
        <v>521.6</v>
      </c>
      <c r="D895" s="12">
        <v>3.91</v>
      </c>
      <c r="E895" s="12">
        <v>0.63</v>
      </c>
      <c r="F895" s="12">
        <v>50.0</v>
      </c>
      <c r="G895" s="13">
        <v>44462.685179039356</v>
      </c>
      <c r="H895" s="14">
        <f>IFERROR(__xludf.DUMMYFUNCTION("SPLIT(G895, "", "")"),44462.0)</f>
        <v>44462</v>
      </c>
      <c r="I895" s="15">
        <f>IFERROR(__xludf.DUMMYFUNCTION("""COMPUTED_VALUE"""),0.6851736111111111)</f>
        <v>0.6851736111</v>
      </c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12">
        <v>3.63</v>
      </c>
      <c r="B896" s="12">
        <v>227.5</v>
      </c>
      <c r="C896" s="12">
        <v>521.6</v>
      </c>
      <c r="D896" s="12">
        <v>3.91</v>
      </c>
      <c r="E896" s="12">
        <v>0.63</v>
      </c>
      <c r="F896" s="12">
        <v>50.0</v>
      </c>
      <c r="G896" s="13">
        <v>44462.68527945602</v>
      </c>
      <c r="H896" s="14">
        <f>IFERROR(__xludf.DUMMYFUNCTION("SPLIT(G896, "", "")"),44462.0)</f>
        <v>44462</v>
      </c>
      <c r="I896" s="15">
        <f>IFERROR(__xludf.DUMMYFUNCTION("""COMPUTED_VALUE"""),0.6852777777777778)</f>
        <v>0.6852777778</v>
      </c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12">
        <v>3.63</v>
      </c>
      <c r="B897" s="12">
        <v>227.4</v>
      </c>
      <c r="C897" s="12">
        <v>521.6</v>
      </c>
      <c r="D897" s="12">
        <v>3.92</v>
      </c>
      <c r="E897" s="12">
        <v>0.63</v>
      </c>
      <c r="F897" s="12">
        <v>50.0</v>
      </c>
      <c r="G897" s="13">
        <v>44462.685381400464</v>
      </c>
      <c r="H897" s="14">
        <f>IFERROR(__xludf.DUMMYFUNCTION("SPLIT(G897, "", "")"),44462.0)</f>
        <v>44462</v>
      </c>
      <c r="I897" s="15">
        <f>IFERROR(__xludf.DUMMYFUNCTION("""COMPUTED_VALUE"""),0.6853819444444444)</f>
        <v>0.6853819444</v>
      </c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12">
        <v>3.63</v>
      </c>
      <c r="B898" s="12">
        <v>227.5</v>
      </c>
      <c r="C898" s="12">
        <v>521.8</v>
      </c>
      <c r="D898" s="12">
        <v>3.92</v>
      </c>
      <c r="E898" s="12">
        <v>0.63</v>
      </c>
      <c r="F898" s="12">
        <v>50.0</v>
      </c>
      <c r="G898" s="13">
        <v>44462.685484456015</v>
      </c>
      <c r="H898" s="14">
        <f>IFERROR(__xludf.DUMMYFUNCTION("SPLIT(G898, "", "")"),44462.0)</f>
        <v>44462</v>
      </c>
      <c r="I898" s="15">
        <f>IFERROR(__xludf.DUMMYFUNCTION("""COMPUTED_VALUE"""),0.6854861111111111)</f>
        <v>0.6854861111</v>
      </c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12">
        <v>3.63</v>
      </c>
      <c r="B899" s="12">
        <v>227.5</v>
      </c>
      <c r="C899" s="12">
        <v>521.8</v>
      </c>
      <c r="D899" s="12">
        <v>3.92</v>
      </c>
      <c r="E899" s="12">
        <v>0.63</v>
      </c>
      <c r="F899" s="12">
        <v>50.0</v>
      </c>
      <c r="G899" s="13">
        <v>44462.685591875</v>
      </c>
      <c r="H899" s="14">
        <f>IFERROR(__xludf.DUMMYFUNCTION("SPLIT(G899, "", "")"),44462.0)</f>
        <v>44462</v>
      </c>
      <c r="I899" s="15">
        <f>IFERROR(__xludf.DUMMYFUNCTION("""COMPUTED_VALUE"""),0.6855902777777778)</f>
        <v>0.6855902778</v>
      </c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12">
        <v>3.63</v>
      </c>
      <c r="B900" s="12">
        <v>227.4</v>
      </c>
      <c r="C900" s="12">
        <v>521.9</v>
      </c>
      <c r="D900" s="12">
        <v>3.92</v>
      </c>
      <c r="E900" s="12">
        <v>0.63</v>
      </c>
      <c r="F900" s="12">
        <v>50.0</v>
      </c>
      <c r="G900" s="13">
        <v>44462.68569774306</v>
      </c>
      <c r="H900" s="14">
        <f>IFERROR(__xludf.DUMMYFUNCTION("SPLIT(G900, "", "")"),44462.0)</f>
        <v>44462</v>
      </c>
      <c r="I900" s="15">
        <f>IFERROR(__xludf.DUMMYFUNCTION("""COMPUTED_VALUE"""),0.6856944444444445)</f>
        <v>0.6856944444</v>
      </c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12">
        <v>3.62</v>
      </c>
      <c r="B901" s="12">
        <v>227.4</v>
      </c>
      <c r="C901" s="12">
        <v>521.8</v>
      </c>
      <c r="D901" s="12">
        <v>3.92</v>
      </c>
      <c r="E901" s="12">
        <v>0.63</v>
      </c>
      <c r="F901" s="12">
        <v>50.0</v>
      </c>
      <c r="G901" s="13">
        <v>44462.685809097224</v>
      </c>
      <c r="H901" s="14">
        <f>IFERROR(__xludf.DUMMYFUNCTION("SPLIT(G901, "", "")"),44462.0)</f>
        <v>44462</v>
      </c>
      <c r="I901" s="15">
        <f>IFERROR(__xludf.DUMMYFUNCTION("""COMPUTED_VALUE"""),0.6858101851851852)</f>
        <v>0.6858101852</v>
      </c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12">
        <v>3.63</v>
      </c>
      <c r="B902" s="12">
        <v>227.3</v>
      </c>
      <c r="C902" s="12">
        <v>521.9</v>
      </c>
      <c r="D902" s="12">
        <v>3.92</v>
      </c>
      <c r="E902" s="12">
        <v>0.63</v>
      </c>
      <c r="F902" s="12">
        <v>50.0</v>
      </c>
      <c r="G902" s="13">
        <v>44462.685914745365</v>
      </c>
      <c r="H902" s="14">
        <f>IFERROR(__xludf.DUMMYFUNCTION("SPLIT(G902, "", "")"),44462.0)</f>
        <v>44462</v>
      </c>
      <c r="I902" s="15">
        <f>IFERROR(__xludf.DUMMYFUNCTION("""COMPUTED_VALUE"""),0.6859143518518519)</f>
        <v>0.6859143519</v>
      </c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12">
        <v>3.63</v>
      </c>
      <c r="B903" s="12">
        <v>227.3</v>
      </c>
      <c r="C903" s="12">
        <v>522.0</v>
      </c>
      <c r="D903" s="12">
        <v>3.92</v>
      </c>
      <c r="E903" s="12">
        <v>0.63</v>
      </c>
      <c r="F903" s="12">
        <v>50.0</v>
      </c>
      <c r="G903" s="13">
        <v>44462.686016377316</v>
      </c>
      <c r="H903" s="14">
        <f>IFERROR(__xludf.DUMMYFUNCTION("SPLIT(G903, "", "")"),44462.0)</f>
        <v>44462</v>
      </c>
      <c r="I903" s="15">
        <f>IFERROR(__xludf.DUMMYFUNCTION("""COMPUTED_VALUE"""),0.6860185185185185)</f>
        <v>0.6860185185</v>
      </c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12">
        <v>3.63</v>
      </c>
      <c r="B904" s="12">
        <v>227.5</v>
      </c>
      <c r="C904" s="12">
        <v>522.1</v>
      </c>
      <c r="D904" s="12">
        <v>3.93</v>
      </c>
      <c r="E904" s="12">
        <v>0.63</v>
      </c>
      <c r="F904" s="12">
        <v>50.0</v>
      </c>
      <c r="G904" s="13">
        <v>44462.68612342593</v>
      </c>
      <c r="H904" s="14">
        <f>IFERROR(__xludf.DUMMYFUNCTION("SPLIT(G904, "", "")"),44462.0)</f>
        <v>44462</v>
      </c>
      <c r="I904" s="15">
        <f>IFERROR(__xludf.DUMMYFUNCTION("""COMPUTED_VALUE"""),0.6861226851851852)</f>
        <v>0.6861226852</v>
      </c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12">
        <v>3.63</v>
      </c>
      <c r="B905" s="12">
        <v>227.5</v>
      </c>
      <c r="C905" s="12">
        <v>522.2</v>
      </c>
      <c r="D905" s="12">
        <v>3.93</v>
      </c>
      <c r="E905" s="12">
        <v>0.63</v>
      </c>
      <c r="F905" s="12">
        <v>50.0</v>
      </c>
      <c r="G905" s="13">
        <v>44462.68622811342</v>
      </c>
      <c r="H905" s="14">
        <f>IFERROR(__xludf.DUMMYFUNCTION("SPLIT(G905, "", "")"),44462.0)</f>
        <v>44462</v>
      </c>
      <c r="I905" s="15">
        <f>IFERROR(__xludf.DUMMYFUNCTION("""COMPUTED_VALUE"""),0.6862268518518518)</f>
        <v>0.6862268519</v>
      </c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12">
        <v>3.63</v>
      </c>
      <c r="B906" s="12">
        <v>227.6</v>
      </c>
      <c r="C906" s="12">
        <v>522.1</v>
      </c>
      <c r="D906" s="12">
        <v>3.93</v>
      </c>
      <c r="E906" s="12">
        <v>0.63</v>
      </c>
      <c r="F906" s="12">
        <v>50.0</v>
      </c>
      <c r="G906" s="13">
        <v>44462.686339629625</v>
      </c>
      <c r="H906" s="14">
        <f>IFERROR(__xludf.DUMMYFUNCTION("SPLIT(G906, "", "")"),44462.0)</f>
        <v>44462</v>
      </c>
      <c r="I906" s="15">
        <f>IFERROR(__xludf.DUMMYFUNCTION("""COMPUTED_VALUE"""),0.6863425925925926)</f>
        <v>0.6863425926</v>
      </c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12">
        <v>3.63</v>
      </c>
      <c r="B907" s="12">
        <v>227.6</v>
      </c>
      <c r="C907" s="12">
        <v>522.1</v>
      </c>
      <c r="D907" s="12">
        <v>3.93</v>
      </c>
      <c r="E907" s="12">
        <v>0.63</v>
      </c>
      <c r="F907" s="12">
        <v>50.0</v>
      </c>
      <c r="G907" s="13">
        <v>44462.68644907407</v>
      </c>
      <c r="H907" s="14">
        <f>IFERROR(__xludf.DUMMYFUNCTION("SPLIT(G907, "", "")"),44462.0)</f>
        <v>44462</v>
      </c>
      <c r="I907" s="15">
        <f>IFERROR(__xludf.DUMMYFUNCTION("""COMPUTED_VALUE"""),0.6864467592592592)</f>
        <v>0.6864467593</v>
      </c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12">
        <v>3.63</v>
      </c>
      <c r="B908" s="12">
        <v>227.7</v>
      </c>
      <c r="C908" s="12">
        <v>522.2</v>
      </c>
      <c r="D908" s="12">
        <v>3.93</v>
      </c>
      <c r="E908" s="12">
        <v>0.63</v>
      </c>
      <c r="F908" s="12">
        <v>50.0</v>
      </c>
      <c r="G908" s="13">
        <v>44462.68655515046</v>
      </c>
      <c r="H908" s="14">
        <f>IFERROR(__xludf.DUMMYFUNCTION("SPLIT(G908, "", "")"),44462.0)</f>
        <v>44462</v>
      </c>
      <c r="I908" s="15">
        <f>IFERROR(__xludf.DUMMYFUNCTION("""COMPUTED_VALUE"""),0.6865509259259259)</f>
        <v>0.6865509259</v>
      </c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12">
        <v>3.63</v>
      </c>
      <c r="B909" s="12">
        <v>227.7</v>
      </c>
      <c r="C909" s="12">
        <v>522.3</v>
      </c>
      <c r="D909" s="12">
        <v>3.93</v>
      </c>
      <c r="E909" s="12">
        <v>0.63</v>
      </c>
      <c r="F909" s="12">
        <v>50.0</v>
      </c>
      <c r="G909" s="13">
        <v>44462.686656446764</v>
      </c>
      <c r="H909" s="14">
        <f>IFERROR(__xludf.DUMMYFUNCTION("SPLIT(G909, "", "")"),44462.0)</f>
        <v>44462</v>
      </c>
      <c r="I909" s="15">
        <f>IFERROR(__xludf.DUMMYFUNCTION("""COMPUTED_VALUE"""),0.6866550925925926)</f>
        <v>0.6866550926</v>
      </c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12">
        <v>3.63</v>
      </c>
      <c r="B910" s="12">
        <v>227.7</v>
      </c>
      <c r="C910" s="12">
        <v>522.4</v>
      </c>
      <c r="D910" s="12">
        <v>3.93</v>
      </c>
      <c r="E910" s="12">
        <v>0.63</v>
      </c>
      <c r="F910" s="12">
        <v>50.0</v>
      </c>
      <c r="G910" s="13">
        <v>44462.68675767361</v>
      </c>
      <c r="H910" s="14">
        <f>IFERROR(__xludf.DUMMYFUNCTION("SPLIT(G910, "", "")"),44462.0)</f>
        <v>44462</v>
      </c>
      <c r="I910" s="15">
        <f>IFERROR(__xludf.DUMMYFUNCTION("""COMPUTED_VALUE"""),0.6867592592592593)</f>
        <v>0.6867592593</v>
      </c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12">
        <v>3.63</v>
      </c>
      <c r="B911" s="12">
        <v>227.7</v>
      </c>
      <c r="C911" s="12">
        <v>522.4</v>
      </c>
      <c r="D911" s="12">
        <v>3.93</v>
      </c>
      <c r="E911" s="12">
        <v>0.63</v>
      </c>
      <c r="F911" s="12">
        <v>50.0</v>
      </c>
      <c r="G911" s="13">
        <v>44462.68686315972</v>
      </c>
      <c r="H911" s="14">
        <f>IFERROR(__xludf.DUMMYFUNCTION("SPLIT(G911, "", "")"),44462.0)</f>
        <v>44462</v>
      </c>
      <c r="I911" s="15">
        <f>IFERROR(__xludf.DUMMYFUNCTION("""COMPUTED_VALUE"""),0.686863425925926)</f>
        <v>0.6868634259</v>
      </c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12">
        <v>3.64</v>
      </c>
      <c r="B912" s="12">
        <v>227.7</v>
      </c>
      <c r="C912" s="12">
        <v>522.5</v>
      </c>
      <c r="D912" s="12">
        <v>3.94</v>
      </c>
      <c r="E912" s="12">
        <v>0.63</v>
      </c>
      <c r="F912" s="12">
        <v>50.0</v>
      </c>
      <c r="G912" s="13">
        <v>44462.68697300926</v>
      </c>
      <c r="H912" s="14">
        <f>IFERROR(__xludf.DUMMYFUNCTION("SPLIT(G912, "", "")"),44462.0)</f>
        <v>44462</v>
      </c>
      <c r="I912" s="15">
        <f>IFERROR(__xludf.DUMMYFUNCTION("""COMPUTED_VALUE"""),0.6869675925925925)</f>
        <v>0.6869675926</v>
      </c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12">
        <v>3.63</v>
      </c>
      <c r="B913" s="12">
        <v>227.7</v>
      </c>
      <c r="C913" s="12">
        <v>522.5</v>
      </c>
      <c r="D913" s="12">
        <v>3.94</v>
      </c>
      <c r="E913" s="12">
        <v>0.63</v>
      </c>
      <c r="F913" s="12">
        <v>50.0</v>
      </c>
      <c r="G913" s="13">
        <v>44462.68707871527</v>
      </c>
      <c r="H913" s="14">
        <f>IFERROR(__xludf.DUMMYFUNCTION("SPLIT(G913, "", "")"),44462.0)</f>
        <v>44462</v>
      </c>
      <c r="I913" s="15">
        <f>IFERROR(__xludf.DUMMYFUNCTION("""COMPUTED_VALUE"""),0.6870833333333334)</f>
        <v>0.6870833333</v>
      </c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12">
        <v>3.63</v>
      </c>
      <c r="B914" s="12">
        <v>227.7</v>
      </c>
      <c r="C914" s="12">
        <v>522.5</v>
      </c>
      <c r="D914" s="12">
        <v>3.94</v>
      </c>
      <c r="E914" s="12">
        <v>0.63</v>
      </c>
      <c r="F914" s="12">
        <v>50.0</v>
      </c>
      <c r="G914" s="13">
        <v>44462.68718097222</v>
      </c>
      <c r="H914" s="14">
        <f>IFERROR(__xludf.DUMMYFUNCTION("SPLIT(G914, "", "")"),44462.0)</f>
        <v>44462</v>
      </c>
      <c r="I914" s="15">
        <f>IFERROR(__xludf.DUMMYFUNCTION("""COMPUTED_VALUE"""),0.6871759259259259)</f>
        <v>0.6871759259</v>
      </c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12">
        <v>3.63</v>
      </c>
      <c r="B915" s="12">
        <v>227.8</v>
      </c>
      <c r="C915" s="12">
        <v>522.5</v>
      </c>
      <c r="D915" s="12">
        <v>3.94</v>
      </c>
      <c r="E915" s="12">
        <v>0.63</v>
      </c>
      <c r="F915" s="12">
        <v>50.0</v>
      </c>
      <c r="G915" s="13">
        <v>44462.68728619213</v>
      </c>
      <c r="H915" s="14">
        <f>IFERROR(__xludf.DUMMYFUNCTION("SPLIT(G915, "", "")"),44462.0)</f>
        <v>44462</v>
      </c>
      <c r="I915" s="15">
        <f>IFERROR(__xludf.DUMMYFUNCTION("""COMPUTED_VALUE"""),0.6872916666666666)</f>
        <v>0.6872916667</v>
      </c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12">
        <v>3.63</v>
      </c>
      <c r="B916" s="12">
        <v>227.6</v>
      </c>
      <c r="C916" s="12">
        <v>522.5</v>
      </c>
      <c r="D916" s="12">
        <v>3.94</v>
      </c>
      <c r="E916" s="12">
        <v>0.63</v>
      </c>
      <c r="F916" s="12">
        <v>50.0</v>
      </c>
      <c r="G916" s="13">
        <v>44462.687391134255</v>
      </c>
      <c r="H916" s="14">
        <f>IFERROR(__xludf.DUMMYFUNCTION("SPLIT(G916, "", "")"),44462.0)</f>
        <v>44462</v>
      </c>
      <c r="I916" s="15">
        <f>IFERROR(__xludf.DUMMYFUNCTION("""COMPUTED_VALUE"""),0.6873958333333333)</f>
        <v>0.6873958333</v>
      </c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12">
        <v>3.63</v>
      </c>
      <c r="B917" s="12">
        <v>227.5</v>
      </c>
      <c r="C917" s="12">
        <v>522.5</v>
      </c>
      <c r="D917" s="12">
        <v>3.94</v>
      </c>
      <c r="E917" s="12">
        <v>0.63</v>
      </c>
      <c r="F917" s="12">
        <v>50.0</v>
      </c>
      <c r="G917" s="13">
        <v>44462.687489143515</v>
      </c>
      <c r="H917" s="14">
        <f>IFERROR(__xludf.DUMMYFUNCTION("SPLIT(G917, "", "")"),44462.0)</f>
        <v>44462</v>
      </c>
      <c r="I917" s="15">
        <f>IFERROR(__xludf.DUMMYFUNCTION("""COMPUTED_VALUE"""),0.687488425925926)</f>
        <v>0.6874884259</v>
      </c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12">
        <v>3.63</v>
      </c>
      <c r="B918" s="12">
        <v>227.3</v>
      </c>
      <c r="C918" s="12">
        <v>522.5</v>
      </c>
      <c r="D918" s="12">
        <v>3.94</v>
      </c>
      <c r="E918" s="12">
        <v>0.63</v>
      </c>
      <c r="F918" s="12">
        <v>50.0</v>
      </c>
      <c r="G918" s="13">
        <v>44462.687591249996</v>
      </c>
      <c r="H918" s="14">
        <f>IFERROR(__xludf.DUMMYFUNCTION("SPLIT(G918, "", "")"),44462.0)</f>
        <v>44462</v>
      </c>
      <c r="I918" s="15">
        <f>IFERROR(__xludf.DUMMYFUNCTION("""COMPUTED_VALUE"""),0.6875925925925926)</f>
        <v>0.6875925926</v>
      </c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12">
        <v>3.63</v>
      </c>
      <c r="B919" s="12">
        <v>227.3</v>
      </c>
      <c r="C919" s="12">
        <v>522.6</v>
      </c>
      <c r="D919" s="12">
        <v>3.95</v>
      </c>
      <c r="E919" s="12">
        <v>0.63</v>
      </c>
      <c r="F919" s="12">
        <v>49.9</v>
      </c>
      <c r="G919" s="13">
        <v>44462.68770079861</v>
      </c>
      <c r="H919" s="14">
        <f>IFERROR(__xludf.DUMMYFUNCTION("SPLIT(G919, "", "")"),44462.0)</f>
        <v>44462</v>
      </c>
      <c r="I919" s="15">
        <f>IFERROR(__xludf.DUMMYFUNCTION("""COMPUTED_VALUE"""),0.6876967592592592)</f>
        <v>0.6876967593</v>
      </c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12">
        <v>3.63</v>
      </c>
      <c r="B920" s="12">
        <v>227.3</v>
      </c>
      <c r="C920" s="12">
        <v>522.6</v>
      </c>
      <c r="D920" s="12">
        <v>3.95</v>
      </c>
      <c r="E920" s="12">
        <v>0.63</v>
      </c>
      <c r="F920" s="12">
        <v>49.9</v>
      </c>
      <c r="G920" s="13">
        <v>44462.68780231482</v>
      </c>
      <c r="H920" s="14">
        <f>IFERROR(__xludf.DUMMYFUNCTION("SPLIT(G920, "", "")"),44462.0)</f>
        <v>44462</v>
      </c>
      <c r="I920" s="15">
        <f>IFERROR(__xludf.DUMMYFUNCTION("""COMPUTED_VALUE"""),0.6878009259259259)</f>
        <v>0.6878009259</v>
      </c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12">
        <v>3.63</v>
      </c>
      <c r="B921" s="12">
        <v>227.3</v>
      </c>
      <c r="C921" s="12">
        <v>522.8</v>
      </c>
      <c r="D921" s="12">
        <v>3.95</v>
      </c>
      <c r="E921" s="12">
        <v>0.63</v>
      </c>
      <c r="F921" s="12">
        <v>50.0</v>
      </c>
      <c r="G921" s="13">
        <v>44462.68790597223</v>
      </c>
      <c r="H921" s="14">
        <f>IFERROR(__xludf.DUMMYFUNCTION("SPLIT(G921, "", "")"),44462.0)</f>
        <v>44462</v>
      </c>
      <c r="I921" s="15">
        <f>IFERROR(__xludf.DUMMYFUNCTION("""COMPUTED_VALUE"""),0.6879050925925926)</f>
        <v>0.6879050926</v>
      </c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12">
        <v>3.63</v>
      </c>
      <c r="B922" s="12">
        <v>227.3</v>
      </c>
      <c r="C922" s="12">
        <v>522.9</v>
      </c>
      <c r="D922" s="12">
        <v>3.95</v>
      </c>
      <c r="E922" s="12">
        <v>0.63</v>
      </c>
      <c r="F922" s="12">
        <v>49.9</v>
      </c>
      <c r="G922" s="13">
        <v>44462.688011875</v>
      </c>
      <c r="H922" s="14">
        <f>IFERROR(__xludf.DUMMYFUNCTION("SPLIT(G922, "", "")"),44462.0)</f>
        <v>44462</v>
      </c>
      <c r="I922" s="15">
        <f>IFERROR(__xludf.DUMMYFUNCTION("""COMPUTED_VALUE"""),0.6880092592592593)</f>
        <v>0.6880092593</v>
      </c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12">
        <v>3.64</v>
      </c>
      <c r="B923" s="12">
        <v>227.4</v>
      </c>
      <c r="C923" s="12">
        <v>522.9</v>
      </c>
      <c r="D923" s="12">
        <v>3.95</v>
      </c>
      <c r="E923" s="12">
        <v>0.63</v>
      </c>
      <c r="F923" s="12">
        <v>50.0</v>
      </c>
      <c r="G923" s="13">
        <v>44462.68812027777</v>
      </c>
      <c r="H923" s="14">
        <f>IFERROR(__xludf.DUMMYFUNCTION("SPLIT(G923, "", "")"),44462.0)</f>
        <v>44462</v>
      </c>
      <c r="I923" s="15">
        <f>IFERROR(__xludf.DUMMYFUNCTION("""COMPUTED_VALUE"""),0.688125)</f>
        <v>0.688125</v>
      </c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12">
        <v>3.63</v>
      </c>
      <c r="B924" s="12">
        <v>227.6</v>
      </c>
      <c r="C924" s="12">
        <v>523.0</v>
      </c>
      <c r="D924" s="12">
        <v>3.95</v>
      </c>
      <c r="E924" s="12">
        <v>0.63</v>
      </c>
      <c r="F924" s="12">
        <v>50.0</v>
      </c>
      <c r="G924" s="13">
        <v>44462.68822802084</v>
      </c>
      <c r="H924" s="14">
        <f>IFERROR(__xludf.DUMMYFUNCTION("SPLIT(G924, "", "")"),44462.0)</f>
        <v>44462</v>
      </c>
      <c r="I924" s="15">
        <f>IFERROR(__xludf.DUMMYFUNCTION("""COMPUTED_VALUE"""),0.6882291666666667)</f>
        <v>0.6882291667</v>
      </c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12">
        <v>3.64</v>
      </c>
      <c r="B925" s="12">
        <v>227.6</v>
      </c>
      <c r="C925" s="12">
        <v>523.1</v>
      </c>
      <c r="D925" s="12">
        <v>3.95</v>
      </c>
      <c r="E925" s="12">
        <v>0.63</v>
      </c>
      <c r="F925" s="12">
        <v>50.0</v>
      </c>
      <c r="G925" s="13">
        <v>44462.688330868055</v>
      </c>
      <c r="H925" s="14">
        <f>IFERROR(__xludf.DUMMYFUNCTION("SPLIT(G925, "", "")"),44462.0)</f>
        <v>44462</v>
      </c>
      <c r="I925" s="15">
        <f>IFERROR(__xludf.DUMMYFUNCTION("""COMPUTED_VALUE"""),0.6883333333333334)</f>
        <v>0.6883333333</v>
      </c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12">
        <v>3.64</v>
      </c>
      <c r="B926" s="12">
        <v>227.6</v>
      </c>
      <c r="C926" s="12">
        <v>523.1</v>
      </c>
      <c r="D926" s="12">
        <v>3.95</v>
      </c>
      <c r="E926" s="12">
        <v>0.63</v>
      </c>
      <c r="F926" s="12">
        <v>50.0</v>
      </c>
      <c r="G926" s="13">
        <v>44462.68843866898</v>
      </c>
      <c r="H926" s="14">
        <f>IFERROR(__xludf.DUMMYFUNCTION("SPLIT(G926, "", "")"),44462.0)</f>
        <v>44462</v>
      </c>
      <c r="I926" s="15">
        <f>IFERROR(__xludf.DUMMYFUNCTION("""COMPUTED_VALUE"""),0.6884375)</f>
        <v>0.6884375</v>
      </c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12">
        <v>3.63</v>
      </c>
      <c r="B927" s="12">
        <v>227.7</v>
      </c>
      <c r="C927" s="12">
        <v>523.1</v>
      </c>
      <c r="D927" s="12">
        <v>3.96</v>
      </c>
      <c r="E927" s="12">
        <v>0.63</v>
      </c>
      <c r="F927" s="12">
        <v>50.0</v>
      </c>
      <c r="G927" s="13">
        <v>44462.688544606484</v>
      </c>
      <c r="H927" s="14">
        <f>IFERROR(__xludf.DUMMYFUNCTION("SPLIT(G927, "", "")"),44462.0)</f>
        <v>44462</v>
      </c>
      <c r="I927" s="15">
        <f>IFERROR(__xludf.DUMMYFUNCTION("""COMPUTED_VALUE"""),0.6885416666666667)</f>
        <v>0.6885416667</v>
      </c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12">
        <v>3.63</v>
      </c>
      <c r="B928" s="12">
        <v>227.7</v>
      </c>
      <c r="C928" s="12">
        <v>523.2</v>
      </c>
      <c r="D928" s="12">
        <v>3.96</v>
      </c>
      <c r="E928" s="12">
        <v>0.63</v>
      </c>
      <c r="F928" s="12">
        <v>50.0</v>
      </c>
      <c r="G928" s="13">
        <v>44462.68865458333</v>
      </c>
      <c r="H928" s="14">
        <f>IFERROR(__xludf.DUMMYFUNCTION("SPLIT(G928, "", "")"),44462.0)</f>
        <v>44462</v>
      </c>
      <c r="I928" s="15">
        <f>IFERROR(__xludf.DUMMYFUNCTION("""COMPUTED_VALUE"""),0.6886574074074074)</f>
        <v>0.6886574074</v>
      </c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12">
        <v>3.63</v>
      </c>
      <c r="B929" s="12">
        <v>227.8</v>
      </c>
      <c r="C929" s="12">
        <v>523.3</v>
      </c>
      <c r="D929" s="12">
        <v>3.96</v>
      </c>
      <c r="E929" s="12">
        <v>0.63</v>
      </c>
      <c r="F929" s="12">
        <v>50.0</v>
      </c>
      <c r="G929" s="13">
        <v>44462.6887775</v>
      </c>
      <c r="H929" s="14">
        <f>IFERROR(__xludf.DUMMYFUNCTION("SPLIT(G929, "", "")"),44462.0)</f>
        <v>44462</v>
      </c>
      <c r="I929" s="15">
        <f>IFERROR(__xludf.DUMMYFUNCTION("""COMPUTED_VALUE"""),0.6887731481481482)</f>
        <v>0.6887731481</v>
      </c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12">
        <v>3.63</v>
      </c>
      <c r="B930" s="12">
        <v>227.7</v>
      </c>
      <c r="C930" s="12">
        <v>523.2</v>
      </c>
      <c r="D930" s="12">
        <v>3.96</v>
      </c>
      <c r="E930" s="12">
        <v>0.63</v>
      </c>
      <c r="F930" s="12">
        <v>50.0</v>
      </c>
      <c r="G930" s="13">
        <v>44462.688884560186</v>
      </c>
      <c r="H930" s="14">
        <f>IFERROR(__xludf.DUMMYFUNCTION("SPLIT(G930, "", "")"),44462.0)</f>
        <v>44462</v>
      </c>
      <c r="I930" s="15">
        <f>IFERROR(__xludf.DUMMYFUNCTION("""COMPUTED_VALUE"""),0.6888888888888889)</f>
        <v>0.6888888889</v>
      </c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12">
        <v>3.63</v>
      </c>
      <c r="B931" s="12">
        <v>227.7</v>
      </c>
      <c r="C931" s="12">
        <v>523.3</v>
      </c>
      <c r="D931" s="12">
        <v>3.96</v>
      </c>
      <c r="E931" s="12">
        <v>0.63</v>
      </c>
      <c r="F931" s="12">
        <v>50.0</v>
      </c>
      <c r="G931" s="13">
        <v>44462.688989699076</v>
      </c>
      <c r="H931" s="14">
        <f>IFERROR(__xludf.DUMMYFUNCTION("SPLIT(G931, "", "")"),44462.0)</f>
        <v>44462</v>
      </c>
      <c r="I931" s="15">
        <f>IFERROR(__xludf.DUMMYFUNCTION("""COMPUTED_VALUE"""),0.6889930555555556)</f>
        <v>0.6889930556</v>
      </c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12">
        <v>3.63</v>
      </c>
      <c r="B932" s="12">
        <v>227.7</v>
      </c>
      <c r="C932" s="12">
        <v>523.4</v>
      </c>
      <c r="D932" s="12">
        <v>3.96</v>
      </c>
      <c r="E932" s="12">
        <v>0.63</v>
      </c>
      <c r="F932" s="12">
        <v>50.0</v>
      </c>
      <c r="G932" s="13">
        <v>44462.68909063657</v>
      </c>
      <c r="H932" s="14">
        <f>IFERROR(__xludf.DUMMYFUNCTION("SPLIT(G932, "", "")"),44462.0)</f>
        <v>44462</v>
      </c>
      <c r="I932" s="15">
        <f>IFERROR(__xludf.DUMMYFUNCTION("""COMPUTED_VALUE"""),0.6890856481481481)</f>
        <v>0.6890856481</v>
      </c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12">
        <v>3.62</v>
      </c>
      <c r="B933" s="12">
        <v>227.7</v>
      </c>
      <c r="C933" s="12">
        <v>523.4</v>
      </c>
      <c r="D933" s="12">
        <v>3.96</v>
      </c>
      <c r="E933" s="12">
        <v>0.63</v>
      </c>
      <c r="F933" s="12">
        <v>50.0</v>
      </c>
      <c r="G933" s="13">
        <v>44462.68919320602</v>
      </c>
      <c r="H933" s="14">
        <f>IFERROR(__xludf.DUMMYFUNCTION("SPLIT(G933, "", "")"),44462.0)</f>
        <v>44462</v>
      </c>
      <c r="I933" s="15">
        <f>IFERROR(__xludf.DUMMYFUNCTION("""COMPUTED_VALUE"""),0.6891898148148148)</f>
        <v>0.6891898148</v>
      </c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12">
        <v>3.63</v>
      </c>
      <c r="B934" s="12">
        <v>227.6</v>
      </c>
      <c r="C934" s="12">
        <v>523.4</v>
      </c>
      <c r="D934" s="12">
        <v>3.97</v>
      </c>
      <c r="E934" s="12">
        <v>0.63</v>
      </c>
      <c r="F934" s="12">
        <v>50.0</v>
      </c>
      <c r="G934" s="13">
        <v>44462.68929327546</v>
      </c>
      <c r="H934" s="14">
        <f>IFERROR(__xludf.DUMMYFUNCTION("SPLIT(G934, "", "")"),44462.0)</f>
        <v>44462</v>
      </c>
      <c r="I934" s="15">
        <f>IFERROR(__xludf.DUMMYFUNCTION("""COMPUTED_VALUE"""),0.6892939814814815)</f>
        <v>0.6892939815</v>
      </c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12">
        <v>3.63</v>
      </c>
      <c r="B935" s="12">
        <v>227.6</v>
      </c>
      <c r="C935" s="12">
        <v>523.5</v>
      </c>
      <c r="D935" s="12">
        <v>3.97</v>
      </c>
      <c r="E935" s="12">
        <v>0.63</v>
      </c>
      <c r="F935" s="12">
        <v>50.0</v>
      </c>
      <c r="G935" s="13">
        <v>44462.689392500004</v>
      </c>
      <c r="H935" s="14">
        <f>IFERROR(__xludf.DUMMYFUNCTION("SPLIT(G935, "", "")"),44462.0)</f>
        <v>44462</v>
      </c>
      <c r="I935" s="15">
        <f>IFERROR(__xludf.DUMMYFUNCTION("""COMPUTED_VALUE"""),0.6893981481481481)</f>
        <v>0.6893981481</v>
      </c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12">
        <v>3.63</v>
      </c>
      <c r="B936" s="12">
        <v>227.6</v>
      </c>
      <c r="C936" s="12">
        <v>523.5</v>
      </c>
      <c r="D936" s="12">
        <v>3.97</v>
      </c>
      <c r="E936" s="12">
        <v>0.63</v>
      </c>
      <c r="F936" s="12">
        <v>49.9</v>
      </c>
      <c r="G936" s="13">
        <v>44462.68949831018</v>
      </c>
      <c r="H936" s="14">
        <f>IFERROR(__xludf.DUMMYFUNCTION("SPLIT(G936, "", "")"),44462.0)</f>
        <v>44462</v>
      </c>
      <c r="I936" s="15">
        <f>IFERROR(__xludf.DUMMYFUNCTION("""COMPUTED_VALUE"""),0.6895023148148148)</f>
        <v>0.6895023148</v>
      </c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12">
        <v>3.63</v>
      </c>
      <c r="B937" s="12">
        <v>227.5</v>
      </c>
      <c r="C937" s="12">
        <v>523.6</v>
      </c>
      <c r="D937" s="12">
        <v>3.97</v>
      </c>
      <c r="E937" s="12">
        <v>0.63</v>
      </c>
      <c r="F937" s="12">
        <v>49.9</v>
      </c>
      <c r="G937" s="13">
        <v>44462.689606423606</v>
      </c>
      <c r="H937" s="14">
        <f>IFERROR(__xludf.DUMMYFUNCTION("SPLIT(G937, "", "")"),44462.0)</f>
        <v>44462</v>
      </c>
      <c r="I937" s="15">
        <f>IFERROR(__xludf.DUMMYFUNCTION("""COMPUTED_VALUE"""),0.6896064814814815)</f>
        <v>0.6896064815</v>
      </c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12">
        <v>3.63</v>
      </c>
      <c r="B938" s="12">
        <v>227.5</v>
      </c>
      <c r="C938" s="12">
        <v>523.5</v>
      </c>
      <c r="D938" s="12">
        <v>3.97</v>
      </c>
      <c r="E938" s="12">
        <v>0.63</v>
      </c>
      <c r="F938" s="12">
        <v>49.9</v>
      </c>
      <c r="G938" s="13">
        <v>44462.689712453706</v>
      </c>
      <c r="H938" s="14">
        <f>IFERROR(__xludf.DUMMYFUNCTION("SPLIT(G938, "", "")"),44462.0)</f>
        <v>44462</v>
      </c>
      <c r="I938" s="15">
        <f>IFERROR(__xludf.DUMMYFUNCTION("""COMPUTED_VALUE"""),0.6897106481481482)</f>
        <v>0.6897106481</v>
      </c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12">
        <v>3.63</v>
      </c>
      <c r="B939" s="12">
        <v>227.5</v>
      </c>
      <c r="C939" s="12">
        <v>523.6</v>
      </c>
      <c r="D939" s="12">
        <v>3.97</v>
      </c>
      <c r="E939" s="12">
        <v>0.63</v>
      </c>
      <c r="F939" s="12">
        <v>50.0</v>
      </c>
      <c r="G939" s="13">
        <v>44462.68981489583</v>
      </c>
      <c r="H939" s="14">
        <f>IFERROR(__xludf.DUMMYFUNCTION("SPLIT(G939, "", "")"),44462.0)</f>
        <v>44462</v>
      </c>
      <c r="I939" s="15">
        <f>IFERROR(__xludf.DUMMYFUNCTION("""COMPUTED_VALUE"""),0.6898148148148148)</f>
        <v>0.6898148148</v>
      </c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12">
        <v>3.63</v>
      </c>
      <c r="B940" s="12">
        <v>227.6</v>
      </c>
      <c r="C940" s="12">
        <v>523.6</v>
      </c>
      <c r="D940" s="12">
        <v>3.97</v>
      </c>
      <c r="E940" s="12">
        <v>0.63</v>
      </c>
      <c r="F940" s="12">
        <v>50.0</v>
      </c>
      <c r="G940" s="13">
        <v>44462.68992042824</v>
      </c>
      <c r="H940" s="14">
        <f>IFERROR(__xludf.DUMMYFUNCTION("SPLIT(G940, "", "")"),44462.0)</f>
        <v>44462</v>
      </c>
      <c r="I940" s="15">
        <f>IFERROR(__xludf.DUMMYFUNCTION("""COMPUTED_VALUE"""),0.6899189814814815)</f>
        <v>0.6899189815</v>
      </c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12">
        <v>3.63</v>
      </c>
      <c r="B941" s="12">
        <v>227.5</v>
      </c>
      <c r="C941" s="12">
        <v>523.7</v>
      </c>
      <c r="D941" s="12">
        <v>3.97</v>
      </c>
      <c r="E941" s="12">
        <v>0.63</v>
      </c>
      <c r="F941" s="12">
        <v>50.0</v>
      </c>
      <c r="G941" s="13">
        <v>44462.69002709491</v>
      </c>
      <c r="H941" s="14">
        <f>IFERROR(__xludf.DUMMYFUNCTION("SPLIT(G941, "", "")"),44462.0)</f>
        <v>44462</v>
      </c>
      <c r="I941" s="15">
        <f>IFERROR(__xludf.DUMMYFUNCTION("""COMPUTED_VALUE"""),0.6900231481481481)</f>
        <v>0.6900231481</v>
      </c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12">
        <v>3.62</v>
      </c>
      <c r="B942" s="12">
        <v>227.7</v>
      </c>
      <c r="C942" s="12">
        <v>523.7</v>
      </c>
      <c r="D942" s="12">
        <v>3.98</v>
      </c>
      <c r="E942" s="12">
        <v>0.64</v>
      </c>
      <c r="F942" s="12">
        <v>50.0</v>
      </c>
      <c r="G942" s="13">
        <v>44462.69013484954</v>
      </c>
      <c r="H942" s="14">
        <f>IFERROR(__xludf.DUMMYFUNCTION("SPLIT(G942, "", "")"),44462.0)</f>
        <v>44462</v>
      </c>
      <c r="I942" s="15">
        <f>IFERROR(__xludf.DUMMYFUNCTION("""COMPUTED_VALUE"""),0.6901388888888889)</f>
        <v>0.6901388889</v>
      </c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12">
        <v>3.62</v>
      </c>
      <c r="B943" s="12">
        <v>227.7</v>
      </c>
      <c r="C943" s="12">
        <v>523.8</v>
      </c>
      <c r="D943" s="12">
        <v>3.98</v>
      </c>
      <c r="E943" s="12">
        <v>0.64</v>
      </c>
      <c r="F943" s="12">
        <v>50.0</v>
      </c>
      <c r="G943" s="13">
        <v>44462.69024114583</v>
      </c>
      <c r="H943" s="14">
        <f>IFERROR(__xludf.DUMMYFUNCTION("SPLIT(G943, "", "")"),44462.0)</f>
        <v>44462</v>
      </c>
      <c r="I943" s="15">
        <f>IFERROR(__xludf.DUMMYFUNCTION("""COMPUTED_VALUE"""),0.6902430555555555)</f>
        <v>0.6902430556</v>
      </c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12">
        <v>3.63</v>
      </c>
      <c r="B944" s="12">
        <v>227.9</v>
      </c>
      <c r="C944" s="12">
        <v>523.9</v>
      </c>
      <c r="D944" s="12">
        <v>3.98</v>
      </c>
      <c r="E944" s="12">
        <v>0.63</v>
      </c>
      <c r="F944" s="12">
        <v>50.0</v>
      </c>
      <c r="G944" s="13">
        <v>44462.69034608796</v>
      </c>
      <c r="H944" s="14">
        <f>IFERROR(__xludf.DUMMYFUNCTION("SPLIT(G944, "", "")"),44462.0)</f>
        <v>44462</v>
      </c>
      <c r="I944" s="15">
        <f>IFERROR(__xludf.DUMMYFUNCTION("""COMPUTED_VALUE"""),0.6903472222222222)</f>
        <v>0.6903472222</v>
      </c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12">
        <v>3.62</v>
      </c>
      <c r="B945" s="12">
        <v>227.9</v>
      </c>
      <c r="C945" s="12">
        <v>523.9</v>
      </c>
      <c r="D945" s="12">
        <v>3.98</v>
      </c>
      <c r="E945" s="12">
        <v>0.64</v>
      </c>
      <c r="F945" s="12">
        <v>50.0</v>
      </c>
      <c r="G945" s="13">
        <v>44462.69044928241</v>
      </c>
      <c r="H945" s="14">
        <f>IFERROR(__xludf.DUMMYFUNCTION("SPLIT(G945, "", "")"),44462.0)</f>
        <v>44462</v>
      </c>
      <c r="I945" s="15">
        <f>IFERROR(__xludf.DUMMYFUNCTION("""COMPUTED_VALUE"""),0.6904513888888889)</f>
        <v>0.6904513889</v>
      </c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12">
        <v>3.61</v>
      </c>
      <c r="B946" s="12">
        <v>227.9</v>
      </c>
      <c r="C946" s="12">
        <v>524.0</v>
      </c>
      <c r="D946" s="12">
        <v>3.98</v>
      </c>
      <c r="E946" s="12">
        <v>0.64</v>
      </c>
      <c r="F946" s="12">
        <v>50.0</v>
      </c>
      <c r="G946" s="13">
        <v>44462.69055277778</v>
      </c>
      <c r="H946" s="14">
        <f>IFERROR(__xludf.DUMMYFUNCTION("SPLIT(G946, "", "")"),44462.0)</f>
        <v>44462</v>
      </c>
      <c r="I946" s="15">
        <f>IFERROR(__xludf.DUMMYFUNCTION("""COMPUTED_VALUE"""),0.6905555555555556)</f>
        <v>0.6905555556</v>
      </c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12">
        <v>3.62</v>
      </c>
      <c r="B947" s="12">
        <v>228.0</v>
      </c>
      <c r="C947" s="12">
        <v>524.0</v>
      </c>
      <c r="D947" s="12">
        <v>3.98</v>
      </c>
      <c r="E947" s="12">
        <v>0.64</v>
      </c>
      <c r="F947" s="12">
        <v>50.0</v>
      </c>
      <c r="G947" s="13">
        <v>44462.69066087963</v>
      </c>
      <c r="H947" s="14">
        <f>IFERROR(__xludf.DUMMYFUNCTION("SPLIT(G947, "", "")"),44462.0)</f>
        <v>44462</v>
      </c>
      <c r="I947" s="15">
        <f>IFERROR(__xludf.DUMMYFUNCTION("""COMPUTED_VALUE"""),0.6906597222222223)</f>
        <v>0.6906597222</v>
      </c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12">
        <v>3.6</v>
      </c>
      <c r="B948" s="12">
        <v>228.0</v>
      </c>
      <c r="C948" s="12">
        <v>523.9</v>
      </c>
      <c r="D948" s="12">
        <v>3.98</v>
      </c>
      <c r="E948" s="12">
        <v>0.64</v>
      </c>
      <c r="F948" s="12">
        <v>50.0</v>
      </c>
      <c r="G948" s="13">
        <v>44462.690764976855</v>
      </c>
      <c r="H948" s="14">
        <f>IFERROR(__xludf.DUMMYFUNCTION("SPLIT(G948, "", "")"),44462.0)</f>
        <v>44462</v>
      </c>
      <c r="I948" s="15">
        <f>IFERROR(__xludf.DUMMYFUNCTION("""COMPUTED_VALUE"""),0.6907638888888888)</f>
        <v>0.6907638889</v>
      </c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12">
        <v>3.6</v>
      </c>
      <c r="B949" s="12">
        <v>228.0</v>
      </c>
      <c r="C949" s="12">
        <v>523.9</v>
      </c>
      <c r="D949" s="12">
        <v>3.99</v>
      </c>
      <c r="E949" s="12">
        <v>0.64</v>
      </c>
      <c r="F949" s="12">
        <v>50.0</v>
      </c>
      <c r="G949" s="13">
        <v>44462.6908649074</v>
      </c>
      <c r="H949" s="14">
        <f>IFERROR(__xludf.DUMMYFUNCTION("SPLIT(G949, "", "")"),44462.0)</f>
        <v>44462</v>
      </c>
      <c r="I949" s="15">
        <f>IFERROR(__xludf.DUMMYFUNCTION("""COMPUTED_VALUE"""),0.6908680555555555)</f>
        <v>0.6908680556</v>
      </c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12">
        <v>3.61</v>
      </c>
      <c r="B950" s="12">
        <v>227.9</v>
      </c>
      <c r="C950" s="12">
        <v>524.0</v>
      </c>
      <c r="D950" s="12">
        <v>3.99</v>
      </c>
      <c r="E950" s="12">
        <v>0.64</v>
      </c>
      <c r="F950" s="12">
        <v>50.0</v>
      </c>
      <c r="G950" s="13">
        <v>44462.690966678245</v>
      </c>
      <c r="H950" s="14">
        <f>IFERROR(__xludf.DUMMYFUNCTION("SPLIT(G950, "", "")"),44462.0)</f>
        <v>44462</v>
      </c>
      <c r="I950" s="15">
        <f>IFERROR(__xludf.DUMMYFUNCTION("""COMPUTED_VALUE"""),0.6909722222222222)</f>
        <v>0.6909722222</v>
      </c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12">
        <v>3.61</v>
      </c>
      <c r="B951" s="12">
        <v>228.0</v>
      </c>
      <c r="C951" s="12">
        <v>524.0</v>
      </c>
      <c r="D951" s="12">
        <v>3.99</v>
      </c>
      <c r="E951" s="12">
        <v>0.64</v>
      </c>
      <c r="F951" s="12">
        <v>50.0</v>
      </c>
      <c r="G951" s="13">
        <v>44462.69107056713</v>
      </c>
      <c r="H951" s="14">
        <f>IFERROR(__xludf.DUMMYFUNCTION("SPLIT(G951, "", "")"),44462.0)</f>
        <v>44462</v>
      </c>
      <c r="I951" s="15">
        <f>IFERROR(__xludf.DUMMYFUNCTION("""COMPUTED_VALUE"""),0.6910648148148149)</f>
        <v>0.6910648148</v>
      </c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12">
        <v>3.6</v>
      </c>
      <c r="B952" s="12">
        <v>228.1</v>
      </c>
      <c r="C952" s="12">
        <v>524.1</v>
      </c>
      <c r="D952" s="12">
        <v>3.99</v>
      </c>
      <c r="E952" s="12">
        <v>0.64</v>
      </c>
      <c r="F952" s="12">
        <v>50.0</v>
      </c>
      <c r="G952" s="13">
        <v>44462.69117766204</v>
      </c>
      <c r="H952" s="14">
        <f>IFERROR(__xludf.DUMMYFUNCTION("SPLIT(G952, "", "")"),44462.0)</f>
        <v>44462</v>
      </c>
      <c r="I952" s="15">
        <f>IFERROR(__xludf.DUMMYFUNCTION("""COMPUTED_VALUE"""),0.6911805555555556)</f>
        <v>0.6911805556</v>
      </c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12">
        <v>3.6</v>
      </c>
      <c r="B953" s="12">
        <v>228.2</v>
      </c>
      <c r="C953" s="12">
        <v>524.2</v>
      </c>
      <c r="D953" s="12">
        <v>3.99</v>
      </c>
      <c r="E953" s="12">
        <v>0.64</v>
      </c>
      <c r="F953" s="12">
        <v>50.0</v>
      </c>
      <c r="G953" s="13">
        <v>44462.69128416666</v>
      </c>
      <c r="H953" s="14">
        <f>IFERROR(__xludf.DUMMYFUNCTION("SPLIT(G953, "", "")"),44462.0)</f>
        <v>44462</v>
      </c>
      <c r="I953" s="15">
        <f>IFERROR(__xludf.DUMMYFUNCTION("""COMPUTED_VALUE"""),0.6912847222222223)</f>
        <v>0.6912847222</v>
      </c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12">
        <v>3.61</v>
      </c>
      <c r="B954" s="12">
        <v>228.2</v>
      </c>
      <c r="C954" s="12">
        <v>524.3</v>
      </c>
      <c r="D954" s="12">
        <v>3.99</v>
      </c>
      <c r="E954" s="12">
        <v>0.64</v>
      </c>
      <c r="F954" s="12">
        <v>50.0</v>
      </c>
      <c r="G954" s="13">
        <v>44462.691391886576</v>
      </c>
      <c r="H954" s="14">
        <f>IFERROR(__xludf.DUMMYFUNCTION("SPLIT(G954, "", "")"),44462.0)</f>
        <v>44462</v>
      </c>
      <c r="I954" s="15">
        <f>IFERROR(__xludf.DUMMYFUNCTION("""COMPUTED_VALUE"""),0.6913888888888889)</f>
        <v>0.6913888889</v>
      </c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12">
        <v>3.6</v>
      </c>
      <c r="B955" s="12">
        <v>228.1</v>
      </c>
      <c r="C955" s="12">
        <v>524.3</v>
      </c>
      <c r="D955" s="12">
        <v>3.99</v>
      </c>
      <c r="E955" s="12">
        <v>0.64</v>
      </c>
      <c r="F955" s="12">
        <v>50.0</v>
      </c>
      <c r="G955" s="13">
        <v>44462.69149357639</v>
      </c>
      <c r="H955" s="14">
        <f>IFERROR(__xludf.DUMMYFUNCTION("SPLIT(G955, "", "")"),44462.0)</f>
        <v>44462</v>
      </c>
      <c r="I955" s="15">
        <f>IFERROR(__xludf.DUMMYFUNCTION("""COMPUTED_VALUE"""),0.6914930555555555)</f>
        <v>0.6914930556</v>
      </c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12">
        <v>3.62</v>
      </c>
      <c r="B956" s="12">
        <v>227.5</v>
      </c>
      <c r="C956" s="12">
        <v>524.2</v>
      </c>
      <c r="D956" s="12">
        <v>3.99</v>
      </c>
      <c r="E956" s="12">
        <v>0.64</v>
      </c>
      <c r="F956" s="12">
        <v>50.0</v>
      </c>
      <c r="G956" s="13">
        <v>44462.69159482639</v>
      </c>
      <c r="H956" s="14">
        <f>IFERROR(__xludf.DUMMYFUNCTION("SPLIT(G956, "", "")"),44462.0)</f>
        <v>44462</v>
      </c>
      <c r="I956" s="15">
        <f>IFERROR(__xludf.DUMMYFUNCTION("""COMPUTED_VALUE"""),0.6915972222222222)</f>
        <v>0.6915972222</v>
      </c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12">
        <v>3.61</v>
      </c>
      <c r="B957" s="12">
        <v>227.9</v>
      </c>
      <c r="C957" s="12">
        <v>524.5</v>
      </c>
      <c r="D957" s="12">
        <v>4.0</v>
      </c>
      <c r="E957" s="12">
        <v>0.64</v>
      </c>
      <c r="F957" s="12">
        <v>50.0</v>
      </c>
      <c r="G957" s="13">
        <v>44462.69170188658</v>
      </c>
      <c r="H957" s="14">
        <f>IFERROR(__xludf.DUMMYFUNCTION("SPLIT(G957, "", "")"),44462.0)</f>
        <v>44462</v>
      </c>
      <c r="I957" s="15">
        <f>IFERROR(__xludf.DUMMYFUNCTION("""COMPUTED_VALUE"""),0.6917013888888889)</f>
        <v>0.6917013889</v>
      </c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12">
        <v>3.62</v>
      </c>
      <c r="B958" s="12">
        <v>227.7</v>
      </c>
      <c r="C958" s="12">
        <v>524.5</v>
      </c>
      <c r="D958" s="12">
        <v>4.0</v>
      </c>
      <c r="E958" s="12">
        <v>0.64</v>
      </c>
      <c r="F958" s="12">
        <v>50.0</v>
      </c>
      <c r="G958" s="13">
        <v>44462.69180703704</v>
      </c>
      <c r="H958" s="14">
        <f>IFERROR(__xludf.DUMMYFUNCTION("SPLIT(G958, "", "")"),44462.0)</f>
        <v>44462</v>
      </c>
      <c r="I958" s="15">
        <f>IFERROR(__xludf.DUMMYFUNCTION("""COMPUTED_VALUE"""),0.6918055555555556)</f>
        <v>0.6918055556</v>
      </c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12">
        <v>3.61</v>
      </c>
      <c r="B959" s="12">
        <v>227.7</v>
      </c>
      <c r="C959" s="12">
        <v>524.5</v>
      </c>
      <c r="D959" s="12">
        <v>4.0</v>
      </c>
      <c r="E959" s="12">
        <v>0.64</v>
      </c>
      <c r="F959" s="12">
        <v>50.0</v>
      </c>
      <c r="G959" s="13">
        <v>44462.691911435184</v>
      </c>
      <c r="H959" s="14">
        <f>IFERROR(__xludf.DUMMYFUNCTION("SPLIT(G959, "", "")"),44462.0)</f>
        <v>44462</v>
      </c>
      <c r="I959" s="15">
        <f>IFERROR(__xludf.DUMMYFUNCTION("""COMPUTED_VALUE"""),0.6919097222222222)</f>
        <v>0.6919097222</v>
      </c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12">
        <v>3.61</v>
      </c>
      <c r="B960" s="12">
        <v>227.8</v>
      </c>
      <c r="C960" s="12">
        <v>524.6</v>
      </c>
      <c r="D960" s="12">
        <v>4.0</v>
      </c>
      <c r="E960" s="12">
        <v>0.64</v>
      </c>
      <c r="F960" s="12">
        <v>50.0</v>
      </c>
      <c r="G960" s="13">
        <v>44462.69201560185</v>
      </c>
      <c r="H960" s="14">
        <f>IFERROR(__xludf.DUMMYFUNCTION("SPLIT(G960, "", "")"),44462.0)</f>
        <v>44462</v>
      </c>
      <c r="I960" s="15">
        <f>IFERROR(__xludf.DUMMYFUNCTION("""COMPUTED_VALUE"""),0.6920138888888889)</f>
        <v>0.6920138889</v>
      </c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12">
        <v>3.61</v>
      </c>
      <c r="B961" s="12">
        <v>227.9</v>
      </c>
      <c r="C961" s="12">
        <v>524.6</v>
      </c>
      <c r="D961" s="12">
        <v>4.0</v>
      </c>
      <c r="E961" s="12">
        <v>0.64</v>
      </c>
      <c r="F961" s="12">
        <v>50.0</v>
      </c>
      <c r="G961" s="13">
        <v>44462.69211905093</v>
      </c>
      <c r="H961" s="14">
        <f>IFERROR(__xludf.DUMMYFUNCTION("SPLIT(G961, "", "")"),44462.0)</f>
        <v>44462</v>
      </c>
      <c r="I961" s="15">
        <f>IFERROR(__xludf.DUMMYFUNCTION("""COMPUTED_VALUE"""),0.6921180555555555)</f>
        <v>0.6921180556</v>
      </c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12">
        <v>3.62</v>
      </c>
      <c r="B962" s="12">
        <v>227.8</v>
      </c>
      <c r="C962" s="12">
        <v>524.8</v>
      </c>
      <c r="D962" s="12">
        <v>4.0</v>
      </c>
      <c r="E962" s="12">
        <v>0.64</v>
      </c>
      <c r="F962" s="12">
        <v>50.0</v>
      </c>
      <c r="G962" s="13">
        <v>44462.69221940972</v>
      </c>
      <c r="H962" s="14">
        <f>IFERROR(__xludf.DUMMYFUNCTION("SPLIT(G962, "", "")"),44462.0)</f>
        <v>44462</v>
      </c>
      <c r="I962" s="15">
        <f>IFERROR(__xludf.DUMMYFUNCTION("""COMPUTED_VALUE"""),0.6922222222222222)</f>
        <v>0.6922222222</v>
      </c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12">
        <v>3.62</v>
      </c>
      <c r="B963" s="12">
        <v>227.9</v>
      </c>
      <c r="C963" s="12">
        <v>524.8</v>
      </c>
      <c r="D963" s="12">
        <v>4.0</v>
      </c>
      <c r="E963" s="12">
        <v>0.64</v>
      </c>
      <c r="F963" s="12">
        <v>50.0</v>
      </c>
      <c r="G963" s="13">
        <v>44462.692328379635</v>
      </c>
      <c r="H963" s="14">
        <f>IFERROR(__xludf.DUMMYFUNCTION("SPLIT(G963, "", "")"),44462.0)</f>
        <v>44462</v>
      </c>
      <c r="I963" s="15">
        <f>IFERROR(__xludf.DUMMYFUNCTION("""COMPUTED_VALUE"""),0.6923263888888889)</f>
        <v>0.6923263889</v>
      </c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12">
        <v>3.62</v>
      </c>
      <c r="B964" s="12">
        <v>227.9</v>
      </c>
      <c r="C964" s="12">
        <v>524.9</v>
      </c>
      <c r="D964" s="12">
        <v>4.01</v>
      </c>
      <c r="E964" s="12">
        <v>0.64</v>
      </c>
      <c r="F964" s="12">
        <v>50.0</v>
      </c>
      <c r="G964" s="13">
        <v>44462.692439363425</v>
      </c>
      <c r="H964" s="14">
        <f>IFERROR(__xludf.DUMMYFUNCTION("SPLIT(G964, "", "")"),44462.0)</f>
        <v>44462</v>
      </c>
      <c r="I964" s="15">
        <f>IFERROR(__xludf.DUMMYFUNCTION("""COMPUTED_VALUE"""),0.6924421296296296)</f>
        <v>0.6924421296</v>
      </c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12">
        <v>3.61</v>
      </c>
      <c r="B965" s="12">
        <v>227.8</v>
      </c>
      <c r="C965" s="12">
        <v>524.8</v>
      </c>
      <c r="D965" s="12">
        <v>4.01</v>
      </c>
      <c r="E965" s="12">
        <v>0.64</v>
      </c>
      <c r="F965" s="12">
        <v>50.0</v>
      </c>
      <c r="G965" s="13">
        <v>44462.69254344907</v>
      </c>
      <c r="H965" s="14">
        <f>IFERROR(__xludf.DUMMYFUNCTION("SPLIT(G965, "", "")"),44462.0)</f>
        <v>44462</v>
      </c>
      <c r="I965" s="15">
        <f>IFERROR(__xludf.DUMMYFUNCTION("""COMPUTED_VALUE"""),0.6925462962962963)</f>
        <v>0.6925462963</v>
      </c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12">
        <v>3.62</v>
      </c>
      <c r="B966" s="12">
        <v>228.1</v>
      </c>
      <c r="C966" s="12">
        <v>525.0</v>
      </c>
      <c r="D966" s="12">
        <v>4.01</v>
      </c>
      <c r="E966" s="12">
        <v>0.64</v>
      </c>
      <c r="F966" s="12">
        <v>50.0</v>
      </c>
      <c r="G966" s="13">
        <v>44462.69265197917</v>
      </c>
      <c r="H966" s="14">
        <f>IFERROR(__xludf.DUMMYFUNCTION("SPLIT(G966, "", "")"),44462.0)</f>
        <v>44462</v>
      </c>
      <c r="I966" s="15">
        <f>IFERROR(__xludf.DUMMYFUNCTION("""COMPUTED_VALUE"""),0.692650462962963)</f>
        <v>0.692650463</v>
      </c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12">
        <v>3.62</v>
      </c>
      <c r="B967" s="12">
        <v>228.0</v>
      </c>
      <c r="C967" s="12">
        <v>525.0</v>
      </c>
      <c r="D967" s="12">
        <v>4.01</v>
      </c>
      <c r="E967" s="12">
        <v>0.64</v>
      </c>
      <c r="F967" s="12">
        <v>50.0</v>
      </c>
      <c r="G967" s="13">
        <v>44462.69276023148</v>
      </c>
      <c r="H967" s="14">
        <f>IFERROR(__xludf.DUMMYFUNCTION("SPLIT(G967, "", "")"),44462.0)</f>
        <v>44462</v>
      </c>
      <c r="I967" s="15">
        <f>IFERROR(__xludf.DUMMYFUNCTION("""COMPUTED_VALUE"""),0.6927546296296296)</f>
        <v>0.6927546296</v>
      </c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12">
        <v>3.62</v>
      </c>
      <c r="B968" s="12">
        <v>228.0</v>
      </c>
      <c r="C968" s="12">
        <v>525.0</v>
      </c>
      <c r="D968" s="12">
        <v>4.01</v>
      </c>
      <c r="E968" s="12">
        <v>0.64</v>
      </c>
      <c r="F968" s="12">
        <v>50.0</v>
      </c>
      <c r="G968" s="13">
        <v>44462.692862662036</v>
      </c>
      <c r="H968" s="14">
        <f>IFERROR(__xludf.DUMMYFUNCTION("SPLIT(G968, "", "")"),44462.0)</f>
        <v>44462</v>
      </c>
      <c r="I968" s="15">
        <f>IFERROR(__xludf.DUMMYFUNCTION("""COMPUTED_VALUE"""),0.6928587962962963)</f>
        <v>0.6928587963</v>
      </c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12">
        <v>3.62</v>
      </c>
      <c r="B969" s="12">
        <v>228.0</v>
      </c>
      <c r="C969" s="12">
        <v>525.1</v>
      </c>
      <c r="D969" s="12">
        <v>4.01</v>
      </c>
      <c r="E969" s="12">
        <v>0.64</v>
      </c>
      <c r="F969" s="12">
        <v>50.0</v>
      </c>
      <c r="G969" s="13">
        <v>44462.69296177084</v>
      </c>
      <c r="H969" s="14">
        <f>IFERROR(__xludf.DUMMYFUNCTION("SPLIT(G969, "", "")"),44462.0)</f>
        <v>44462</v>
      </c>
      <c r="I969" s="15">
        <f>IFERROR(__xludf.DUMMYFUNCTION("""COMPUTED_VALUE"""),0.692962962962963)</f>
        <v>0.692962963</v>
      </c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12">
        <v>3.62</v>
      </c>
      <c r="B970" s="12">
        <v>228.0</v>
      </c>
      <c r="C970" s="12">
        <v>525.2</v>
      </c>
      <c r="D970" s="12">
        <v>4.01</v>
      </c>
      <c r="E970" s="12">
        <v>0.64</v>
      </c>
      <c r="F970" s="12">
        <v>50.0</v>
      </c>
      <c r="G970" s="13">
        <v>44462.69306978009</v>
      </c>
      <c r="H970" s="14">
        <f>IFERROR(__xludf.DUMMYFUNCTION("SPLIT(G970, "", "")"),44462.0)</f>
        <v>44462</v>
      </c>
      <c r="I970" s="15">
        <f>IFERROR(__xludf.DUMMYFUNCTION("""COMPUTED_VALUE"""),0.6930671296296296)</f>
        <v>0.6930671296</v>
      </c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12">
        <v>3.62</v>
      </c>
      <c r="B971" s="12">
        <v>228.0</v>
      </c>
      <c r="C971" s="12">
        <v>525.2</v>
      </c>
      <c r="D971" s="12">
        <v>4.01</v>
      </c>
      <c r="E971" s="12">
        <v>0.64</v>
      </c>
      <c r="F971" s="12">
        <v>50.0</v>
      </c>
      <c r="G971" s="13">
        <v>44462.69317466435</v>
      </c>
      <c r="H971" s="14">
        <f>IFERROR(__xludf.DUMMYFUNCTION("SPLIT(G971, "", "")"),44462.0)</f>
        <v>44462</v>
      </c>
      <c r="I971" s="15">
        <f>IFERROR(__xludf.DUMMYFUNCTION("""COMPUTED_VALUE"""),0.6931712962962963)</f>
        <v>0.6931712963</v>
      </c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12">
        <v>3.62</v>
      </c>
      <c r="B972" s="12">
        <v>228.0</v>
      </c>
      <c r="C972" s="12">
        <v>525.3</v>
      </c>
      <c r="D972" s="12">
        <v>4.02</v>
      </c>
      <c r="E972" s="12">
        <v>0.64</v>
      </c>
      <c r="F972" s="12">
        <v>50.0</v>
      </c>
      <c r="G972" s="13">
        <v>44462.693279432875</v>
      </c>
      <c r="H972" s="14">
        <f>IFERROR(__xludf.DUMMYFUNCTION("SPLIT(G972, "", "")"),44462.0)</f>
        <v>44462</v>
      </c>
      <c r="I972" s="15">
        <f>IFERROR(__xludf.DUMMYFUNCTION("""COMPUTED_VALUE"""),0.6932754629629629)</f>
        <v>0.693275463</v>
      </c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12">
        <v>3.61</v>
      </c>
      <c r="B973" s="12">
        <v>228.1</v>
      </c>
      <c r="C973" s="12">
        <v>525.2</v>
      </c>
      <c r="D973" s="12">
        <v>4.02</v>
      </c>
      <c r="E973" s="12">
        <v>0.64</v>
      </c>
      <c r="F973" s="12">
        <v>50.0</v>
      </c>
      <c r="G973" s="13">
        <v>44462.69339015047</v>
      </c>
      <c r="H973" s="14">
        <f>IFERROR(__xludf.DUMMYFUNCTION("SPLIT(G973, "", "")"),44462.0)</f>
        <v>44462</v>
      </c>
      <c r="I973" s="15">
        <f>IFERROR(__xludf.DUMMYFUNCTION("""COMPUTED_VALUE"""),0.6933912037037037)</f>
        <v>0.6933912037</v>
      </c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12">
        <v>3.61</v>
      </c>
      <c r="B974" s="12">
        <v>228.1</v>
      </c>
      <c r="C974" s="12">
        <v>525.3</v>
      </c>
      <c r="D974" s="12">
        <v>4.02</v>
      </c>
      <c r="E974" s="12">
        <v>0.64</v>
      </c>
      <c r="F974" s="12">
        <v>50.0</v>
      </c>
      <c r="G974" s="13">
        <v>44462.69349721065</v>
      </c>
      <c r="H974" s="14">
        <f>IFERROR(__xludf.DUMMYFUNCTION("SPLIT(G974, "", "")"),44462.0)</f>
        <v>44462</v>
      </c>
      <c r="I974" s="15">
        <f>IFERROR(__xludf.DUMMYFUNCTION("""COMPUTED_VALUE"""),0.6934953703703703)</f>
        <v>0.6934953704</v>
      </c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12">
        <v>3.61</v>
      </c>
      <c r="B975" s="12">
        <v>228.0</v>
      </c>
      <c r="C975" s="12">
        <v>525.4</v>
      </c>
      <c r="D975" s="12">
        <v>4.02</v>
      </c>
      <c r="E975" s="12">
        <v>0.64</v>
      </c>
      <c r="F975" s="12">
        <v>49.9</v>
      </c>
      <c r="G975" s="13">
        <v>44462.69368118056</v>
      </c>
      <c r="H975" s="14">
        <f>IFERROR(__xludf.DUMMYFUNCTION("SPLIT(G975, "", "")"),44462.0)</f>
        <v>44462</v>
      </c>
      <c r="I975" s="15">
        <f>IFERROR(__xludf.DUMMYFUNCTION("""COMPUTED_VALUE"""),0.6936805555555555)</f>
        <v>0.6936805556</v>
      </c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12">
        <v>3.61</v>
      </c>
      <c r="B976" s="12">
        <v>227.9</v>
      </c>
      <c r="C976" s="12">
        <v>525.5</v>
      </c>
      <c r="D976" s="12">
        <v>4.02</v>
      </c>
      <c r="E976" s="12">
        <v>0.64</v>
      </c>
      <c r="F976" s="12">
        <v>49.9</v>
      </c>
      <c r="G976" s="13">
        <v>44462.6937853125</v>
      </c>
      <c r="H976" s="14">
        <f>IFERROR(__xludf.DUMMYFUNCTION("SPLIT(G976, "", "")"),44462.0)</f>
        <v>44462</v>
      </c>
      <c r="I976" s="15">
        <f>IFERROR(__xludf.DUMMYFUNCTION("""COMPUTED_VALUE"""),0.6937847222222222)</f>
        <v>0.6937847222</v>
      </c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12">
        <v>3.6</v>
      </c>
      <c r="B977" s="12">
        <v>227.9</v>
      </c>
      <c r="C977" s="12">
        <v>525.4</v>
      </c>
      <c r="D977" s="12">
        <v>4.02</v>
      </c>
      <c r="E977" s="12">
        <v>0.64</v>
      </c>
      <c r="F977" s="12">
        <v>49.9</v>
      </c>
      <c r="G977" s="13">
        <v>44462.693890173614</v>
      </c>
      <c r="H977" s="14">
        <f>IFERROR(__xludf.DUMMYFUNCTION("SPLIT(G977, "", "")"),44462.0)</f>
        <v>44462</v>
      </c>
      <c r="I977" s="15">
        <f>IFERROR(__xludf.DUMMYFUNCTION("""COMPUTED_VALUE"""),0.6938888888888889)</f>
        <v>0.6938888889</v>
      </c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12">
        <v>3.61</v>
      </c>
      <c r="B978" s="12">
        <v>227.8</v>
      </c>
      <c r="C978" s="12">
        <v>525.5</v>
      </c>
      <c r="D978" s="12">
        <v>4.03</v>
      </c>
      <c r="E978" s="12">
        <v>0.64</v>
      </c>
      <c r="F978" s="12">
        <v>49.9</v>
      </c>
      <c r="G978" s="13">
        <v>44462.69398991898</v>
      </c>
      <c r="H978" s="14">
        <f>IFERROR(__xludf.DUMMYFUNCTION("SPLIT(G978, "", "")"),44462.0)</f>
        <v>44462</v>
      </c>
      <c r="I978" s="15">
        <f>IFERROR(__xludf.DUMMYFUNCTION("""COMPUTED_VALUE"""),0.6939930555555556)</f>
        <v>0.6939930556</v>
      </c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12">
        <v>3.61</v>
      </c>
      <c r="B979" s="12">
        <v>227.7</v>
      </c>
      <c r="C979" s="12">
        <v>525.6</v>
      </c>
      <c r="D979" s="12">
        <v>4.03</v>
      </c>
      <c r="E979" s="12">
        <v>0.64</v>
      </c>
      <c r="F979" s="12">
        <v>49.9</v>
      </c>
      <c r="G979" s="13">
        <v>44462.69409542824</v>
      </c>
      <c r="H979" s="14">
        <f>IFERROR(__xludf.DUMMYFUNCTION("SPLIT(G979, "", "")"),44462.0)</f>
        <v>44462</v>
      </c>
      <c r="I979" s="15">
        <f>IFERROR(__xludf.DUMMYFUNCTION("""COMPUTED_VALUE"""),0.6940972222222223)</f>
        <v>0.6940972222</v>
      </c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12">
        <v>3.61</v>
      </c>
      <c r="B980" s="12">
        <v>227.7</v>
      </c>
      <c r="C980" s="12">
        <v>525.6</v>
      </c>
      <c r="D980" s="12">
        <v>4.03</v>
      </c>
      <c r="E980" s="12">
        <v>0.64</v>
      </c>
      <c r="F980" s="12">
        <v>49.9</v>
      </c>
      <c r="G980" s="13">
        <v>44462.694199328704</v>
      </c>
      <c r="H980" s="14">
        <f>IFERROR(__xludf.DUMMYFUNCTION("SPLIT(G980, "", "")"),44462.0)</f>
        <v>44462</v>
      </c>
      <c r="I980" s="15">
        <f>IFERROR(__xludf.DUMMYFUNCTION("""COMPUTED_VALUE"""),0.6942013888888889)</f>
        <v>0.6942013889</v>
      </c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12">
        <v>3.61</v>
      </c>
      <c r="B981" s="12">
        <v>227.7</v>
      </c>
      <c r="C981" s="12">
        <v>525.6</v>
      </c>
      <c r="D981" s="12">
        <v>4.03</v>
      </c>
      <c r="E981" s="12">
        <v>0.64</v>
      </c>
      <c r="F981" s="12">
        <v>49.9</v>
      </c>
      <c r="G981" s="13">
        <v>44462.694306875</v>
      </c>
      <c r="H981" s="14">
        <f>IFERROR(__xludf.DUMMYFUNCTION("SPLIT(G981, "", "")"),44462.0)</f>
        <v>44462</v>
      </c>
      <c r="I981" s="15">
        <f>IFERROR(__xludf.DUMMYFUNCTION("""COMPUTED_VALUE"""),0.6943055555555555)</f>
        <v>0.6943055556</v>
      </c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12">
        <v>3.62</v>
      </c>
      <c r="B982" s="12">
        <v>227.7</v>
      </c>
      <c r="C982" s="12">
        <v>525.8</v>
      </c>
      <c r="D982" s="12">
        <v>4.03</v>
      </c>
      <c r="E982" s="12">
        <v>0.64</v>
      </c>
      <c r="F982" s="12">
        <v>49.9</v>
      </c>
      <c r="G982" s="13">
        <v>44462.694408564814</v>
      </c>
      <c r="H982" s="14">
        <f>IFERROR(__xludf.DUMMYFUNCTION("SPLIT(G982, "", "")"),44462.0)</f>
        <v>44462</v>
      </c>
      <c r="I982" s="15">
        <f>IFERROR(__xludf.DUMMYFUNCTION("""COMPUTED_VALUE"""),0.6944097222222222)</f>
        <v>0.6944097222</v>
      </c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12">
        <v>3.62</v>
      </c>
      <c r="B983" s="12">
        <v>227.7</v>
      </c>
      <c r="C983" s="12">
        <v>525.9</v>
      </c>
      <c r="D983" s="12">
        <v>4.03</v>
      </c>
      <c r="E983" s="12">
        <v>0.64</v>
      </c>
      <c r="F983" s="12">
        <v>50.0</v>
      </c>
      <c r="G983" s="13">
        <v>44462.69451457176</v>
      </c>
      <c r="H983" s="14">
        <f>IFERROR(__xludf.DUMMYFUNCTION("SPLIT(G983, "", "")"),44462.0)</f>
        <v>44462</v>
      </c>
      <c r="I983" s="15">
        <f>IFERROR(__xludf.DUMMYFUNCTION("""COMPUTED_VALUE"""),0.6945138888888889)</f>
        <v>0.6945138889</v>
      </c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12">
        <v>3.62</v>
      </c>
      <c r="B984" s="12">
        <v>227.8</v>
      </c>
      <c r="C984" s="12">
        <v>525.9</v>
      </c>
      <c r="D984" s="12">
        <v>4.03</v>
      </c>
      <c r="E984" s="12">
        <v>0.64</v>
      </c>
      <c r="F984" s="12">
        <v>50.0</v>
      </c>
      <c r="G984" s="13">
        <v>44462.694618761576</v>
      </c>
      <c r="H984" s="14">
        <f>IFERROR(__xludf.DUMMYFUNCTION("SPLIT(G984, "", "")"),44462.0)</f>
        <v>44462</v>
      </c>
      <c r="I984" s="15">
        <f>IFERROR(__xludf.DUMMYFUNCTION("""COMPUTED_VALUE"""),0.6946180555555556)</f>
        <v>0.6946180556</v>
      </c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12">
        <v>3.62</v>
      </c>
      <c r="B985" s="12">
        <v>227.8</v>
      </c>
      <c r="C985" s="12">
        <v>526.0</v>
      </c>
      <c r="D985" s="12">
        <v>4.03</v>
      </c>
      <c r="E985" s="12">
        <v>0.64</v>
      </c>
      <c r="F985" s="12">
        <v>50.0</v>
      </c>
      <c r="G985" s="13">
        <v>44462.69472733796</v>
      </c>
      <c r="H985" s="14">
        <f>IFERROR(__xludf.DUMMYFUNCTION("SPLIT(G985, "", "")"),44462.0)</f>
        <v>44462</v>
      </c>
      <c r="I985" s="15">
        <f>IFERROR(__xludf.DUMMYFUNCTION("""COMPUTED_VALUE"""),0.6947222222222222)</f>
        <v>0.6947222222</v>
      </c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12">
        <v>3.62</v>
      </c>
      <c r="B986" s="12">
        <v>227.8</v>
      </c>
      <c r="C986" s="12">
        <v>526.1</v>
      </c>
      <c r="D986" s="12">
        <v>4.04</v>
      </c>
      <c r="E986" s="12">
        <v>0.64</v>
      </c>
      <c r="F986" s="12">
        <v>50.0</v>
      </c>
      <c r="G986" s="13">
        <v>44462.69483922454</v>
      </c>
      <c r="H986" s="14">
        <f>IFERROR(__xludf.DUMMYFUNCTION("SPLIT(G986, "", "")"),44462.0)</f>
        <v>44462</v>
      </c>
      <c r="I986" s="15">
        <f>IFERROR(__xludf.DUMMYFUNCTION("""COMPUTED_VALUE"""),0.694837962962963)</f>
        <v>0.694837963</v>
      </c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12">
        <v>3.62</v>
      </c>
      <c r="B987" s="12">
        <v>227.8</v>
      </c>
      <c r="C987" s="12">
        <v>526.1</v>
      </c>
      <c r="D987" s="12">
        <v>4.04</v>
      </c>
      <c r="E987" s="12">
        <v>0.64</v>
      </c>
      <c r="F987" s="12">
        <v>50.0</v>
      </c>
      <c r="G987" s="13">
        <v>44462.69494609954</v>
      </c>
      <c r="H987" s="14">
        <f>IFERROR(__xludf.DUMMYFUNCTION("SPLIT(G987, "", "")"),44462.0)</f>
        <v>44462</v>
      </c>
      <c r="I987" s="15">
        <f>IFERROR(__xludf.DUMMYFUNCTION("""COMPUTED_VALUE"""),0.6949421296296296)</f>
        <v>0.6949421296</v>
      </c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12">
        <v>3.62</v>
      </c>
      <c r="B988" s="12">
        <v>227.8</v>
      </c>
      <c r="C988" s="12">
        <v>526.2</v>
      </c>
      <c r="D988" s="12">
        <v>4.04</v>
      </c>
      <c r="E988" s="12">
        <v>0.64</v>
      </c>
      <c r="F988" s="12">
        <v>50.0</v>
      </c>
      <c r="G988" s="13">
        <v>44462.69504993055</v>
      </c>
      <c r="H988" s="14">
        <f>IFERROR(__xludf.DUMMYFUNCTION("SPLIT(G988, "", "")"),44462.0)</f>
        <v>44462</v>
      </c>
      <c r="I988" s="15">
        <f>IFERROR(__xludf.DUMMYFUNCTION("""COMPUTED_VALUE"""),0.6950462962962963)</f>
        <v>0.6950462963</v>
      </c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12">
        <v>3.62</v>
      </c>
      <c r="B989" s="12">
        <v>227.7</v>
      </c>
      <c r="C989" s="12">
        <v>526.3</v>
      </c>
      <c r="D989" s="12">
        <v>4.04</v>
      </c>
      <c r="E989" s="12">
        <v>0.64</v>
      </c>
      <c r="F989" s="12">
        <v>50.0</v>
      </c>
      <c r="G989" s="13">
        <v>44462.69515240741</v>
      </c>
      <c r="H989" s="14">
        <f>IFERROR(__xludf.DUMMYFUNCTION("SPLIT(G989, "", "")"),44462.0)</f>
        <v>44462</v>
      </c>
      <c r="I989" s="15">
        <f>IFERROR(__xludf.DUMMYFUNCTION("""COMPUTED_VALUE"""),0.695150462962963)</f>
        <v>0.695150463</v>
      </c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12">
        <v>3.62</v>
      </c>
      <c r="B990" s="12">
        <v>227.8</v>
      </c>
      <c r="C990" s="12">
        <v>526.3</v>
      </c>
      <c r="D990" s="12">
        <v>4.04</v>
      </c>
      <c r="E990" s="12">
        <v>0.64</v>
      </c>
      <c r="F990" s="12">
        <v>50.0</v>
      </c>
      <c r="G990" s="13">
        <v>44462.69525783564</v>
      </c>
      <c r="H990" s="14">
        <f>IFERROR(__xludf.DUMMYFUNCTION("SPLIT(G990, "", "")"),44462.0)</f>
        <v>44462</v>
      </c>
      <c r="I990" s="15">
        <f>IFERROR(__xludf.DUMMYFUNCTION("""COMPUTED_VALUE"""),0.6952546296296296)</f>
        <v>0.6952546296</v>
      </c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12">
        <v>3.61</v>
      </c>
      <c r="B991" s="12">
        <v>227.9</v>
      </c>
      <c r="C991" s="12">
        <v>526.3</v>
      </c>
      <c r="D991" s="12">
        <v>4.04</v>
      </c>
      <c r="E991" s="12">
        <v>0.64</v>
      </c>
      <c r="F991" s="12">
        <v>50.0</v>
      </c>
      <c r="G991" s="13">
        <v>44462.695367673616</v>
      </c>
      <c r="H991" s="14">
        <f>IFERROR(__xludf.DUMMYFUNCTION("SPLIT(G991, "", "")"),44462.0)</f>
        <v>44462</v>
      </c>
      <c r="I991" s="15">
        <f>IFERROR(__xludf.DUMMYFUNCTION("""COMPUTED_VALUE"""),0.6953703703703704)</f>
        <v>0.6953703704</v>
      </c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12">
        <v>3.61</v>
      </c>
      <c r="B992" s="12">
        <v>227.9</v>
      </c>
      <c r="C992" s="12">
        <v>526.4</v>
      </c>
      <c r="D992" s="12">
        <v>4.04</v>
      </c>
      <c r="E992" s="12">
        <v>0.64</v>
      </c>
      <c r="F992" s="12">
        <v>50.0</v>
      </c>
      <c r="G992" s="13">
        <v>44462.69546945602</v>
      </c>
      <c r="H992" s="14">
        <f>IFERROR(__xludf.DUMMYFUNCTION("SPLIT(G992, "", "")"),44462.0)</f>
        <v>44462</v>
      </c>
      <c r="I992" s="15">
        <f>IFERROR(__xludf.DUMMYFUNCTION("""COMPUTED_VALUE"""),0.695474537037037)</f>
        <v>0.695474537</v>
      </c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12">
        <v>3.61</v>
      </c>
      <c r="B993" s="12">
        <v>228.0</v>
      </c>
      <c r="C993" s="12">
        <v>526.5</v>
      </c>
      <c r="D993" s="12">
        <v>4.05</v>
      </c>
      <c r="E993" s="12">
        <v>0.64</v>
      </c>
      <c r="F993" s="12">
        <v>50.0</v>
      </c>
      <c r="G993" s="13">
        <v>44462.69557380787</v>
      </c>
      <c r="H993" s="14">
        <f>IFERROR(__xludf.DUMMYFUNCTION("SPLIT(G993, "", "")"),44462.0)</f>
        <v>44462</v>
      </c>
      <c r="I993" s="15">
        <f>IFERROR(__xludf.DUMMYFUNCTION("""COMPUTED_VALUE"""),0.6955787037037037)</f>
        <v>0.6955787037</v>
      </c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12">
        <v>3.61</v>
      </c>
      <c r="B994" s="12">
        <v>228.0</v>
      </c>
      <c r="C994" s="12">
        <v>526.6</v>
      </c>
      <c r="D994" s="12">
        <v>4.05</v>
      </c>
      <c r="E994" s="12">
        <v>0.64</v>
      </c>
      <c r="F994" s="12">
        <v>50.0</v>
      </c>
      <c r="G994" s="13">
        <v>44462.695680335644</v>
      </c>
      <c r="H994" s="14">
        <f>IFERROR(__xludf.DUMMYFUNCTION("SPLIT(G994, "", "")"),44462.0)</f>
        <v>44462</v>
      </c>
      <c r="I994" s="15">
        <f>IFERROR(__xludf.DUMMYFUNCTION("""COMPUTED_VALUE"""),0.6956828703703704)</f>
        <v>0.6956828704</v>
      </c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12">
        <v>3.61</v>
      </c>
      <c r="B995" s="12">
        <v>228.1</v>
      </c>
      <c r="C995" s="12">
        <v>526.7</v>
      </c>
      <c r="D995" s="12">
        <v>4.05</v>
      </c>
      <c r="E995" s="12">
        <v>0.64</v>
      </c>
      <c r="F995" s="12">
        <v>50.0</v>
      </c>
      <c r="G995" s="13">
        <v>44462.69578872685</v>
      </c>
      <c r="H995" s="14">
        <f>IFERROR(__xludf.DUMMYFUNCTION("SPLIT(G995, "", "")"),44462.0)</f>
        <v>44462</v>
      </c>
      <c r="I995" s="15">
        <f>IFERROR(__xludf.DUMMYFUNCTION("""COMPUTED_VALUE"""),0.695787037037037)</f>
        <v>0.695787037</v>
      </c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12">
        <v>3.62</v>
      </c>
      <c r="B996" s="12">
        <v>228.0</v>
      </c>
      <c r="C996" s="12">
        <v>526.7</v>
      </c>
      <c r="D996" s="12">
        <v>4.05</v>
      </c>
      <c r="E996" s="12">
        <v>0.64</v>
      </c>
      <c r="F996" s="12">
        <v>50.0</v>
      </c>
      <c r="G996" s="13">
        <v>44462.695892766205</v>
      </c>
      <c r="H996" s="14">
        <f>IFERROR(__xludf.DUMMYFUNCTION("SPLIT(G996, "", "")"),44462.0)</f>
        <v>44462</v>
      </c>
      <c r="I996" s="15">
        <f>IFERROR(__xludf.DUMMYFUNCTION("""COMPUTED_VALUE"""),0.6958912037037037)</f>
        <v>0.6958912037</v>
      </c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12">
        <v>3.61</v>
      </c>
      <c r="B997" s="12">
        <v>228.1</v>
      </c>
      <c r="C997" s="12">
        <v>526.7</v>
      </c>
      <c r="D997" s="12">
        <v>4.05</v>
      </c>
      <c r="E997" s="12">
        <v>0.64</v>
      </c>
      <c r="F997" s="12">
        <v>50.0</v>
      </c>
      <c r="G997" s="13">
        <v>44462.695994988426</v>
      </c>
      <c r="H997" s="14">
        <f>IFERROR(__xludf.DUMMYFUNCTION("SPLIT(G997, "", "")"),44462.0)</f>
        <v>44462</v>
      </c>
      <c r="I997" s="15">
        <f>IFERROR(__xludf.DUMMYFUNCTION("""COMPUTED_VALUE"""),0.6959953703703704)</f>
        <v>0.6959953704</v>
      </c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12">
        <v>3.61</v>
      </c>
      <c r="B998" s="12">
        <v>228.1</v>
      </c>
      <c r="C998" s="12">
        <v>526.8</v>
      </c>
      <c r="D998" s="12">
        <v>4.05</v>
      </c>
      <c r="E998" s="12">
        <v>0.64</v>
      </c>
      <c r="F998" s="12">
        <v>50.0</v>
      </c>
      <c r="G998" s="13">
        <v>44462.69609863426</v>
      </c>
      <c r="H998" s="14">
        <f>IFERROR(__xludf.DUMMYFUNCTION("SPLIT(G998, "", "")"),44462.0)</f>
        <v>44462</v>
      </c>
      <c r="I998" s="15">
        <f>IFERROR(__xludf.DUMMYFUNCTION("""COMPUTED_VALUE"""),0.6960995370370371)</f>
        <v>0.696099537</v>
      </c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12">
        <v>3.61</v>
      </c>
      <c r="B999" s="12">
        <v>228.2</v>
      </c>
      <c r="C999" s="12">
        <v>526.8</v>
      </c>
      <c r="D999" s="12">
        <v>4.05</v>
      </c>
      <c r="E999" s="12">
        <v>0.64</v>
      </c>
      <c r="F999" s="12">
        <v>50.0</v>
      </c>
      <c r="G999" s="13">
        <v>44462.69620978009</v>
      </c>
      <c r="H999" s="14">
        <f>IFERROR(__xludf.DUMMYFUNCTION("SPLIT(G999, "", "")"),44462.0)</f>
        <v>44462</v>
      </c>
      <c r="I999" s="15">
        <f>IFERROR(__xludf.DUMMYFUNCTION("""COMPUTED_VALUE"""),0.6962152777777778)</f>
        <v>0.6962152778</v>
      </c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12">
        <v>3.61</v>
      </c>
      <c r="B1000" s="12">
        <v>228.5</v>
      </c>
      <c r="C1000" s="12">
        <v>526.9</v>
      </c>
      <c r="D1000" s="12">
        <v>4.05</v>
      </c>
      <c r="E1000" s="12">
        <v>0.64</v>
      </c>
      <c r="F1000" s="12">
        <v>50.0</v>
      </c>
      <c r="G1000" s="13">
        <v>44462.696316331014</v>
      </c>
      <c r="H1000" s="14">
        <f>IFERROR(__xludf.DUMMYFUNCTION("SPLIT(G1000, "", "")"),44462.0)</f>
        <v>44462</v>
      </c>
      <c r="I1000" s="15">
        <f>IFERROR(__xludf.DUMMYFUNCTION("""COMPUTED_VALUE"""),0.6963194444444445)</f>
        <v>0.6963194444</v>
      </c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12">
        <v>3.61</v>
      </c>
      <c r="B1001" s="12">
        <v>228.4</v>
      </c>
      <c r="C1001" s="12">
        <v>527.0</v>
      </c>
      <c r="D1001" s="12">
        <v>4.06</v>
      </c>
      <c r="E1001" s="12">
        <v>0.64</v>
      </c>
      <c r="F1001" s="12">
        <v>50.0</v>
      </c>
      <c r="G1001" s="13">
        <v>44462.696423807865</v>
      </c>
      <c r="H1001" s="14">
        <f>IFERROR(__xludf.DUMMYFUNCTION("SPLIT(G1001, "", "")"),44462.0)</f>
        <v>44462</v>
      </c>
      <c r="I1001" s="15">
        <f>IFERROR(__xludf.DUMMYFUNCTION("""COMPUTED_VALUE"""),0.6964236111111111)</f>
        <v>0.6964236111</v>
      </c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12">
        <v>3.6</v>
      </c>
      <c r="B1002" s="12">
        <v>228.5</v>
      </c>
      <c r="C1002" s="12">
        <v>527.0</v>
      </c>
      <c r="D1002" s="12">
        <v>4.06</v>
      </c>
      <c r="E1002" s="12">
        <v>0.64</v>
      </c>
      <c r="F1002" s="12">
        <v>50.0</v>
      </c>
      <c r="G1002" s="13">
        <v>44462.6965274074</v>
      </c>
      <c r="H1002" s="14">
        <f>IFERROR(__xludf.DUMMYFUNCTION("SPLIT(G1002, "", "")"),44462.0)</f>
        <v>44462</v>
      </c>
      <c r="I1002" s="15">
        <f>IFERROR(__xludf.DUMMYFUNCTION("""COMPUTED_VALUE"""),0.6965277777777777)</f>
        <v>0.6965277778</v>
      </c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12">
        <v>3.61</v>
      </c>
      <c r="B1003" s="12">
        <v>228.3</v>
      </c>
      <c r="C1003" s="12">
        <v>527.1</v>
      </c>
      <c r="D1003" s="12">
        <v>4.06</v>
      </c>
      <c r="E1003" s="12">
        <v>0.64</v>
      </c>
      <c r="F1003" s="12">
        <v>49.9</v>
      </c>
      <c r="G1003" s="13">
        <v>44462.696631493054</v>
      </c>
      <c r="H1003" s="14">
        <f>IFERROR(__xludf.DUMMYFUNCTION("SPLIT(G1003, "", "")"),44462.0)</f>
        <v>44462</v>
      </c>
      <c r="I1003" s="15">
        <f>IFERROR(__xludf.DUMMYFUNCTION("""COMPUTED_VALUE"""),0.6966319444444444)</f>
        <v>0.6966319444</v>
      </c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12">
        <v>3.61</v>
      </c>
      <c r="B1004" s="12">
        <v>228.3</v>
      </c>
      <c r="C1004" s="12">
        <v>527.1</v>
      </c>
      <c r="D1004" s="12">
        <v>4.06</v>
      </c>
      <c r="E1004" s="12">
        <v>0.64</v>
      </c>
      <c r="F1004" s="12">
        <v>50.0</v>
      </c>
      <c r="G1004" s="13">
        <v>44462.696739618055</v>
      </c>
      <c r="H1004" s="14">
        <f>IFERROR(__xludf.DUMMYFUNCTION("SPLIT(G1004, "", "")"),44462.0)</f>
        <v>44462</v>
      </c>
      <c r="I1004" s="15">
        <f>IFERROR(__xludf.DUMMYFUNCTION("""COMPUTED_VALUE"""),0.6967361111111111)</f>
        <v>0.6967361111</v>
      </c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12">
        <v>3.61</v>
      </c>
      <c r="B1005" s="12">
        <v>228.4</v>
      </c>
      <c r="C1005" s="12">
        <v>527.2</v>
      </c>
      <c r="D1005" s="12">
        <v>4.06</v>
      </c>
      <c r="E1005" s="12">
        <v>0.64</v>
      </c>
      <c r="F1005" s="12">
        <v>50.0</v>
      </c>
      <c r="G1005" s="13">
        <v>44462.69684145833</v>
      </c>
      <c r="H1005" s="14">
        <f>IFERROR(__xludf.DUMMYFUNCTION("SPLIT(G1005, "", "")"),44462.0)</f>
        <v>44462</v>
      </c>
      <c r="I1005" s="15">
        <f>IFERROR(__xludf.DUMMYFUNCTION("""COMPUTED_VALUE"""),0.6968402777777778)</f>
        <v>0.6968402778</v>
      </c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12">
        <v>3.62</v>
      </c>
      <c r="B1006" s="12">
        <v>228.4</v>
      </c>
      <c r="C1006" s="12">
        <v>527.5</v>
      </c>
      <c r="D1006" s="12">
        <v>4.06</v>
      </c>
      <c r="E1006" s="12">
        <v>0.64</v>
      </c>
      <c r="F1006" s="12">
        <v>50.0</v>
      </c>
      <c r="G1006" s="13">
        <v>44462.69694369213</v>
      </c>
      <c r="H1006" s="14">
        <f>IFERROR(__xludf.DUMMYFUNCTION("SPLIT(G1006, "", "")"),44462.0)</f>
        <v>44462</v>
      </c>
      <c r="I1006" s="15">
        <f>IFERROR(__xludf.DUMMYFUNCTION("""COMPUTED_VALUE"""),0.6969444444444445)</f>
        <v>0.6969444444</v>
      </c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12">
        <v>3.61</v>
      </c>
      <c r="B1007" s="12">
        <v>228.5</v>
      </c>
      <c r="C1007" s="12">
        <v>527.4</v>
      </c>
      <c r="D1007" s="12">
        <v>4.06</v>
      </c>
      <c r="E1007" s="12">
        <v>0.64</v>
      </c>
      <c r="F1007" s="12">
        <v>50.0</v>
      </c>
      <c r="G1007" s="13">
        <v>44462.697051863426</v>
      </c>
      <c r="H1007" s="14">
        <f>IFERROR(__xludf.DUMMYFUNCTION("SPLIT(G1007, "", "")"),44462.0)</f>
        <v>44462</v>
      </c>
      <c r="I1007" s="15">
        <f>IFERROR(__xludf.DUMMYFUNCTION("""COMPUTED_VALUE"""),0.6970486111111112)</f>
        <v>0.6970486111</v>
      </c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>
      <c r="A1008" s="12">
        <v>3.6</v>
      </c>
      <c r="B1008" s="12">
        <v>228.6</v>
      </c>
      <c r="C1008" s="12">
        <v>527.5</v>
      </c>
      <c r="D1008" s="12">
        <v>4.07</v>
      </c>
      <c r="E1008" s="12">
        <v>0.64</v>
      </c>
      <c r="F1008" s="12">
        <v>50.0</v>
      </c>
      <c r="G1008" s="13">
        <v>44462.697162384255</v>
      </c>
      <c r="H1008" s="14">
        <f>IFERROR(__xludf.DUMMYFUNCTION("SPLIT(G1008, "", "")"),44462.0)</f>
        <v>44462</v>
      </c>
      <c r="I1008" s="15">
        <f>IFERROR(__xludf.DUMMYFUNCTION("""COMPUTED_VALUE"""),0.6971643518518519)</f>
        <v>0.6971643519</v>
      </c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>
      <c r="A1009" s="12">
        <v>3.61</v>
      </c>
      <c r="B1009" s="12">
        <v>228.5</v>
      </c>
      <c r="C1009" s="12">
        <v>527.6</v>
      </c>
      <c r="D1009" s="12">
        <v>4.07</v>
      </c>
      <c r="E1009" s="12">
        <v>0.64</v>
      </c>
      <c r="F1009" s="12">
        <v>50.0</v>
      </c>
      <c r="G1009" s="13">
        <v>44462.6972721875</v>
      </c>
      <c r="H1009" s="14">
        <f>IFERROR(__xludf.DUMMYFUNCTION("SPLIT(G1009, "", "")"),44462.0)</f>
        <v>44462</v>
      </c>
      <c r="I1009" s="15">
        <f>IFERROR(__xludf.DUMMYFUNCTION("""COMPUTED_VALUE"""),0.6972685185185186)</f>
        <v>0.6972685185</v>
      </c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>
      <c r="A1010" s="12">
        <v>3.61</v>
      </c>
      <c r="B1010" s="12">
        <v>228.5</v>
      </c>
      <c r="C1010" s="12">
        <v>527.5</v>
      </c>
      <c r="D1010" s="12">
        <v>4.07</v>
      </c>
      <c r="E1010" s="12">
        <v>0.64</v>
      </c>
      <c r="F1010" s="12">
        <v>50.0</v>
      </c>
      <c r="G1010" s="13">
        <v>44462.69737866898</v>
      </c>
      <c r="H1010" s="14">
        <f>IFERROR(__xludf.DUMMYFUNCTION("SPLIT(G1010, "", "")"),44462.0)</f>
        <v>44462</v>
      </c>
      <c r="I1010" s="15">
        <f>IFERROR(__xludf.DUMMYFUNCTION("""COMPUTED_VALUE"""),0.6973842592592593)</f>
        <v>0.6973842593</v>
      </c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>
      <c r="A1011" s="12">
        <v>3.61</v>
      </c>
      <c r="B1011" s="12">
        <v>228.5</v>
      </c>
      <c r="C1011" s="12">
        <v>527.6</v>
      </c>
      <c r="D1011" s="12">
        <v>4.07</v>
      </c>
      <c r="E1011" s="12">
        <v>0.64</v>
      </c>
      <c r="F1011" s="12">
        <v>50.0</v>
      </c>
      <c r="G1011" s="13">
        <v>44462.69748728009</v>
      </c>
      <c r="H1011" s="14">
        <f>IFERROR(__xludf.DUMMYFUNCTION("SPLIT(G1011, "", "")"),44462.0)</f>
        <v>44462</v>
      </c>
      <c r="I1011" s="15">
        <f>IFERROR(__xludf.DUMMYFUNCTION("""COMPUTED_VALUE"""),0.697488425925926)</f>
        <v>0.6974884259</v>
      </c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>
      <c r="A1012" s="12">
        <v>3.61</v>
      </c>
      <c r="B1012" s="12">
        <v>228.5</v>
      </c>
      <c r="C1012" s="12">
        <v>527.7</v>
      </c>
      <c r="D1012" s="12">
        <v>4.07</v>
      </c>
      <c r="E1012" s="12">
        <v>0.64</v>
      </c>
      <c r="F1012" s="12">
        <v>50.0</v>
      </c>
      <c r="G1012" s="13">
        <v>44462.697594930556</v>
      </c>
      <c r="H1012" s="14">
        <f>IFERROR(__xludf.DUMMYFUNCTION("SPLIT(G1012, "", "")"),44462.0)</f>
        <v>44462</v>
      </c>
      <c r="I1012" s="15">
        <f>IFERROR(__xludf.DUMMYFUNCTION("""COMPUTED_VALUE"""),0.6975925925925925)</f>
        <v>0.6975925926</v>
      </c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>
      <c r="A1013" s="12">
        <v>3.61</v>
      </c>
      <c r="B1013" s="12">
        <v>228.4</v>
      </c>
      <c r="C1013" s="12">
        <v>527.8</v>
      </c>
      <c r="D1013" s="12">
        <v>4.07</v>
      </c>
      <c r="E1013" s="12">
        <v>0.64</v>
      </c>
      <c r="F1013" s="12">
        <v>50.0</v>
      </c>
      <c r="G1013" s="13">
        <v>44462.697696365736</v>
      </c>
      <c r="H1013" s="14">
        <f>IFERROR(__xludf.DUMMYFUNCTION("SPLIT(G1013, "", "")"),44462.0)</f>
        <v>44462</v>
      </c>
      <c r="I1013" s="15">
        <f>IFERROR(__xludf.DUMMYFUNCTION("""COMPUTED_VALUE"""),0.6976967592592592)</f>
        <v>0.6976967593</v>
      </c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>
      <c r="A1014" s="12">
        <v>3.62</v>
      </c>
      <c r="B1014" s="12">
        <v>228.4</v>
      </c>
      <c r="C1014" s="12">
        <v>527.9</v>
      </c>
      <c r="D1014" s="12">
        <v>4.07</v>
      </c>
      <c r="E1014" s="12">
        <v>0.64</v>
      </c>
      <c r="F1014" s="12">
        <v>50.0</v>
      </c>
      <c r="G1014" s="13">
        <v>44462.69780002315</v>
      </c>
      <c r="H1014" s="14">
        <f>IFERROR(__xludf.DUMMYFUNCTION("SPLIT(G1014, "", "")"),44462.0)</f>
        <v>44462</v>
      </c>
      <c r="I1014" s="15">
        <f>IFERROR(__xludf.DUMMYFUNCTION("""COMPUTED_VALUE"""),0.6978009259259259)</f>
        <v>0.6978009259</v>
      </c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>
      <c r="A1015" s="12">
        <v>3.62</v>
      </c>
      <c r="B1015" s="12">
        <v>228.5</v>
      </c>
      <c r="C1015" s="12">
        <v>527.9</v>
      </c>
      <c r="D1015" s="12">
        <v>4.07</v>
      </c>
      <c r="E1015" s="12">
        <v>0.64</v>
      </c>
      <c r="F1015" s="12">
        <v>50.0</v>
      </c>
      <c r="G1015" s="13">
        <v>44462.697901736115</v>
      </c>
      <c r="H1015" s="14">
        <f>IFERROR(__xludf.DUMMYFUNCTION("SPLIT(G1015, "", "")"),44462.0)</f>
        <v>44462</v>
      </c>
      <c r="I1015" s="15">
        <f>IFERROR(__xludf.DUMMYFUNCTION("""COMPUTED_VALUE"""),0.6979050925925926)</f>
        <v>0.6979050926</v>
      </c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>
      <c r="A1016" s="12">
        <v>3.62</v>
      </c>
      <c r="B1016" s="12">
        <v>228.4</v>
      </c>
      <c r="C1016" s="12">
        <v>528.0</v>
      </c>
      <c r="D1016" s="12">
        <v>4.07</v>
      </c>
      <c r="E1016" s="12">
        <v>0.64</v>
      </c>
      <c r="F1016" s="12">
        <v>50.0</v>
      </c>
      <c r="G1016" s="13">
        <v>44462.698002164354</v>
      </c>
      <c r="H1016" s="14">
        <f>IFERROR(__xludf.DUMMYFUNCTION("SPLIT(G1016, "", "")"),44462.0)</f>
        <v>44462</v>
      </c>
      <c r="I1016" s="15">
        <f>IFERROR(__xludf.DUMMYFUNCTION("""COMPUTED_VALUE"""),0.6979976851851852)</f>
        <v>0.6979976852</v>
      </c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>
      <c r="A1017" s="12">
        <v>3.62</v>
      </c>
      <c r="B1017" s="12">
        <v>228.3</v>
      </c>
      <c r="C1017" s="12">
        <v>528.1</v>
      </c>
      <c r="D1017" s="12">
        <v>4.08</v>
      </c>
      <c r="E1017" s="12">
        <v>0.64</v>
      </c>
      <c r="F1017" s="12">
        <v>50.0</v>
      </c>
      <c r="G1017" s="13">
        <v>44462.698101250004</v>
      </c>
      <c r="H1017" s="14">
        <f>IFERROR(__xludf.DUMMYFUNCTION("SPLIT(G1017, "", "")"),44462.0)</f>
        <v>44462</v>
      </c>
      <c r="I1017" s="15">
        <f>IFERROR(__xludf.DUMMYFUNCTION("""COMPUTED_VALUE"""),0.6981018518518518)</f>
        <v>0.6981018519</v>
      </c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>
      <c r="A1018" s="12">
        <v>3.62</v>
      </c>
      <c r="B1018" s="12">
        <v>228.3</v>
      </c>
      <c r="C1018" s="12">
        <v>528.2</v>
      </c>
      <c r="D1018" s="12">
        <v>4.08</v>
      </c>
      <c r="E1018" s="12">
        <v>0.64</v>
      </c>
      <c r="F1018" s="12">
        <v>49.9</v>
      </c>
      <c r="G1018" s="13">
        <v>44462.69820320602</v>
      </c>
      <c r="H1018" s="14">
        <f>IFERROR(__xludf.DUMMYFUNCTION("SPLIT(G1018, "", "")"),44462.0)</f>
        <v>44462</v>
      </c>
      <c r="I1018" s="15">
        <f>IFERROR(__xludf.DUMMYFUNCTION("""COMPUTED_VALUE"""),0.6982060185185185)</f>
        <v>0.6982060185</v>
      </c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>
      <c r="A1019" s="12">
        <v>3.61</v>
      </c>
      <c r="B1019" s="12">
        <v>228.5</v>
      </c>
      <c r="C1019" s="12">
        <v>528.1</v>
      </c>
      <c r="D1019" s="12">
        <v>4.08</v>
      </c>
      <c r="E1019" s="12">
        <v>0.64</v>
      </c>
      <c r="F1019" s="12">
        <v>50.0</v>
      </c>
      <c r="G1019" s="13">
        <v>44462.69830729166</v>
      </c>
      <c r="H1019" s="14">
        <f>IFERROR(__xludf.DUMMYFUNCTION("SPLIT(G1019, "", "")"),44462.0)</f>
        <v>44462</v>
      </c>
      <c r="I1019" s="15">
        <f>IFERROR(__xludf.DUMMYFUNCTION("""COMPUTED_VALUE"""),0.6983101851851852)</f>
        <v>0.6983101852</v>
      </c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>
      <c r="A1020" s="12">
        <v>3.61</v>
      </c>
      <c r="B1020" s="12">
        <v>228.6</v>
      </c>
      <c r="C1020" s="12">
        <v>528.2</v>
      </c>
      <c r="D1020" s="12">
        <v>4.08</v>
      </c>
      <c r="E1020" s="12">
        <v>0.64</v>
      </c>
      <c r="F1020" s="12">
        <v>50.0</v>
      </c>
      <c r="G1020" s="13">
        <v>44462.698415949075</v>
      </c>
      <c r="H1020" s="14">
        <f>IFERROR(__xludf.DUMMYFUNCTION("SPLIT(G1020, "", "")"),44462.0)</f>
        <v>44462</v>
      </c>
      <c r="I1020" s="15">
        <f>IFERROR(__xludf.DUMMYFUNCTION("""COMPUTED_VALUE"""),0.6984143518518519)</f>
        <v>0.6984143519</v>
      </c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>
      <c r="A1021" s="12">
        <v>3.61</v>
      </c>
      <c r="B1021" s="12">
        <v>228.6</v>
      </c>
      <c r="C1021" s="12">
        <v>528.4</v>
      </c>
      <c r="D1021" s="12">
        <v>4.08</v>
      </c>
      <c r="E1021" s="12">
        <v>0.64</v>
      </c>
      <c r="F1021" s="12">
        <v>50.0</v>
      </c>
      <c r="G1021" s="13">
        <v>44462.69851990741</v>
      </c>
      <c r="H1021" s="14">
        <f>IFERROR(__xludf.DUMMYFUNCTION("SPLIT(G1021, "", "")"),44462.0)</f>
        <v>44462</v>
      </c>
      <c r="I1021" s="15">
        <f>IFERROR(__xludf.DUMMYFUNCTION("""COMPUTED_VALUE"""),0.6985185185185185)</f>
        <v>0.6985185185</v>
      </c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>
      <c r="A1022" s="12">
        <v>3.61</v>
      </c>
      <c r="B1022" s="12">
        <v>228.5</v>
      </c>
      <c r="C1022" s="12">
        <v>528.4</v>
      </c>
      <c r="D1022" s="12">
        <v>4.08</v>
      </c>
      <c r="E1022" s="12">
        <v>0.64</v>
      </c>
      <c r="F1022" s="12">
        <v>50.0</v>
      </c>
      <c r="G1022" s="13">
        <v>44462.698621655094</v>
      </c>
      <c r="H1022" s="14">
        <f>IFERROR(__xludf.DUMMYFUNCTION("SPLIT(G1022, "", "")"),44462.0)</f>
        <v>44462</v>
      </c>
      <c r="I1022" s="15">
        <f>IFERROR(__xludf.DUMMYFUNCTION("""COMPUTED_VALUE"""),0.6986226851851852)</f>
        <v>0.6986226852</v>
      </c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>
      <c r="A1023" s="12">
        <v>3.61</v>
      </c>
      <c r="B1023" s="12">
        <v>228.4</v>
      </c>
      <c r="C1023" s="12">
        <v>528.4</v>
      </c>
      <c r="D1023" s="12">
        <v>4.09</v>
      </c>
      <c r="E1023" s="12">
        <v>0.64</v>
      </c>
      <c r="F1023" s="12">
        <v>50.0</v>
      </c>
      <c r="G1023" s="13">
        <v>44462.698729675925</v>
      </c>
      <c r="H1023" s="14">
        <f>IFERROR(__xludf.DUMMYFUNCTION("SPLIT(G1023, "", "")"),44462.0)</f>
        <v>44462</v>
      </c>
      <c r="I1023" s="15">
        <f>IFERROR(__xludf.DUMMYFUNCTION("""COMPUTED_VALUE"""),0.6987268518518519)</f>
        <v>0.6987268519</v>
      </c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>
      <c r="A1024" s="12">
        <v>3.62</v>
      </c>
      <c r="B1024" s="12">
        <v>228.4</v>
      </c>
      <c r="C1024" s="12">
        <v>528.4</v>
      </c>
      <c r="D1024" s="12">
        <v>4.09</v>
      </c>
      <c r="E1024" s="12">
        <v>0.64</v>
      </c>
      <c r="F1024" s="12">
        <v>50.0</v>
      </c>
      <c r="G1024" s="13">
        <v>44462.69883738426</v>
      </c>
      <c r="H1024" s="14">
        <f>IFERROR(__xludf.DUMMYFUNCTION("SPLIT(G1024, "", "")"),44462.0)</f>
        <v>44462</v>
      </c>
      <c r="I1024" s="15">
        <f>IFERROR(__xludf.DUMMYFUNCTION("""COMPUTED_VALUE"""),0.6988425925925926)</f>
        <v>0.6988425926</v>
      </c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>
      <c r="A1025" s="12">
        <v>3.62</v>
      </c>
      <c r="B1025" s="12">
        <v>228.4</v>
      </c>
      <c r="C1025" s="12">
        <v>528.6</v>
      </c>
      <c r="D1025" s="12">
        <v>4.09</v>
      </c>
      <c r="E1025" s="12">
        <v>0.64</v>
      </c>
      <c r="F1025" s="12">
        <v>50.0</v>
      </c>
      <c r="G1025" s="13">
        <v>44462.69893761574</v>
      </c>
      <c r="H1025" s="14">
        <f>IFERROR(__xludf.DUMMYFUNCTION("SPLIT(G1025, "", "")"),44462.0)</f>
        <v>44462</v>
      </c>
      <c r="I1025" s="15">
        <f>IFERROR(__xludf.DUMMYFUNCTION("""COMPUTED_VALUE"""),0.6989351851851852)</f>
        <v>0.6989351852</v>
      </c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>
      <c r="A1026" s="12">
        <v>3.61</v>
      </c>
      <c r="B1026" s="12">
        <v>228.4</v>
      </c>
      <c r="C1026" s="12">
        <v>528.6</v>
      </c>
      <c r="D1026" s="12">
        <v>4.09</v>
      </c>
      <c r="E1026" s="12">
        <v>0.64</v>
      </c>
      <c r="F1026" s="12">
        <v>50.0</v>
      </c>
      <c r="G1026" s="13">
        <v>44462.699041064814</v>
      </c>
      <c r="H1026" s="14">
        <f>IFERROR(__xludf.DUMMYFUNCTION("SPLIT(G1026, "", "")"),44462.0)</f>
        <v>44462</v>
      </c>
      <c r="I1026" s="15">
        <f>IFERROR(__xludf.DUMMYFUNCTION("""COMPUTED_VALUE"""),0.6990393518518518)</f>
        <v>0.6990393519</v>
      </c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>
      <c r="A1027" s="12">
        <v>3.62</v>
      </c>
      <c r="B1027" s="12">
        <v>228.4</v>
      </c>
      <c r="C1027" s="12">
        <v>528.6</v>
      </c>
      <c r="D1027" s="12">
        <v>4.09</v>
      </c>
      <c r="E1027" s="12">
        <v>0.64</v>
      </c>
      <c r="F1027" s="12">
        <v>50.0</v>
      </c>
      <c r="G1027" s="13">
        <v>44462.69914084491</v>
      </c>
      <c r="H1027" s="14">
        <f>IFERROR(__xludf.DUMMYFUNCTION("SPLIT(G1027, "", "")"),44462.0)</f>
        <v>44462</v>
      </c>
      <c r="I1027" s="15">
        <f>IFERROR(__xludf.DUMMYFUNCTION("""COMPUTED_VALUE"""),0.6991435185185185)</f>
        <v>0.6991435185</v>
      </c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>
      <c r="A1028" s="12">
        <v>3.61</v>
      </c>
      <c r="B1028" s="12">
        <v>228.5</v>
      </c>
      <c r="C1028" s="12">
        <v>528.7</v>
      </c>
      <c r="D1028" s="12">
        <v>4.09</v>
      </c>
      <c r="E1028" s="12">
        <v>0.64</v>
      </c>
      <c r="F1028" s="12">
        <v>50.0</v>
      </c>
      <c r="G1028" s="13">
        <v>44462.69923986111</v>
      </c>
      <c r="H1028" s="14">
        <f>IFERROR(__xludf.DUMMYFUNCTION("SPLIT(G1028, "", "")"),44462.0)</f>
        <v>44462</v>
      </c>
      <c r="I1028" s="15">
        <f>IFERROR(__xludf.DUMMYFUNCTION("""COMPUTED_VALUE"""),0.6992361111111111)</f>
        <v>0.6992361111</v>
      </c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>
      <c r="A1029" s="12">
        <v>3.61</v>
      </c>
      <c r="B1029" s="12">
        <v>228.5</v>
      </c>
      <c r="C1029" s="12">
        <v>528.8</v>
      </c>
      <c r="D1029" s="12">
        <v>4.09</v>
      </c>
      <c r="E1029" s="12">
        <v>0.64</v>
      </c>
      <c r="F1029" s="12">
        <v>50.0</v>
      </c>
      <c r="G1029" s="13">
        <v>44462.699350104165</v>
      </c>
      <c r="H1029" s="14">
        <f>IFERROR(__xludf.DUMMYFUNCTION("SPLIT(G1029, "", "")"),44462.0)</f>
        <v>44462</v>
      </c>
      <c r="I1029" s="15">
        <f>IFERROR(__xludf.DUMMYFUNCTION("""COMPUTED_VALUE"""),0.6993518518518519)</f>
        <v>0.6993518519</v>
      </c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  <row r="1030">
      <c r="A1030" s="12">
        <v>3.61</v>
      </c>
      <c r="B1030" s="12">
        <v>228.6</v>
      </c>
      <c r="C1030" s="12">
        <v>528.9</v>
      </c>
      <c r="D1030" s="12">
        <v>4.09</v>
      </c>
      <c r="E1030" s="12">
        <v>0.64</v>
      </c>
      <c r="F1030" s="12">
        <v>50.0</v>
      </c>
      <c r="G1030" s="13">
        <v>44462.699457395836</v>
      </c>
      <c r="H1030" s="14">
        <f>IFERROR(__xludf.DUMMYFUNCTION("SPLIT(G1030, "", "")"),44462.0)</f>
        <v>44462</v>
      </c>
      <c r="I1030" s="15">
        <f>IFERROR(__xludf.DUMMYFUNCTION("""COMPUTED_VALUE"""),0.6994560185185185)</f>
        <v>0.6994560185</v>
      </c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</row>
    <row r="1031">
      <c r="A1031" s="12">
        <v>3.61</v>
      </c>
      <c r="B1031" s="12">
        <v>228.7</v>
      </c>
      <c r="C1031" s="12">
        <v>529.0</v>
      </c>
      <c r="D1031" s="12">
        <v>4.09</v>
      </c>
      <c r="E1031" s="12">
        <v>0.64</v>
      </c>
      <c r="F1031" s="12">
        <v>50.0</v>
      </c>
      <c r="G1031" s="13">
        <v>44462.69956101852</v>
      </c>
      <c r="H1031" s="14">
        <f>IFERROR(__xludf.DUMMYFUNCTION("SPLIT(G1031, "", "")"),44462.0)</f>
        <v>44462</v>
      </c>
      <c r="I1031" s="15">
        <f>IFERROR(__xludf.DUMMYFUNCTION("""COMPUTED_VALUE"""),0.6995601851851851)</f>
        <v>0.6995601852</v>
      </c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</row>
    <row r="1032">
      <c r="A1032" s="12">
        <v>3.62</v>
      </c>
      <c r="B1032" s="12">
        <v>228.6</v>
      </c>
      <c r="C1032" s="12">
        <v>529.0</v>
      </c>
      <c r="D1032" s="12">
        <v>4.1</v>
      </c>
      <c r="E1032" s="12">
        <v>0.64</v>
      </c>
      <c r="F1032" s="12">
        <v>50.0</v>
      </c>
      <c r="G1032" s="13">
        <v>44462.69966165509</v>
      </c>
      <c r="H1032" s="14">
        <f>IFERROR(__xludf.DUMMYFUNCTION("SPLIT(G1032, "", "")"),44462.0)</f>
        <v>44462</v>
      </c>
      <c r="I1032" s="15">
        <f>IFERROR(__xludf.DUMMYFUNCTION("""COMPUTED_VALUE"""),0.6996643518518518)</f>
        <v>0.6996643519</v>
      </c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</row>
    <row r="1033">
      <c r="A1033" s="12">
        <v>3.61</v>
      </c>
      <c r="B1033" s="12">
        <v>228.6</v>
      </c>
      <c r="C1033" s="12">
        <v>529.0</v>
      </c>
      <c r="D1033" s="12">
        <v>4.1</v>
      </c>
      <c r="E1033" s="12">
        <v>0.64</v>
      </c>
      <c r="F1033" s="12">
        <v>50.0</v>
      </c>
      <c r="G1033" s="13">
        <v>44462.69976258102</v>
      </c>
      <c r="H1033" s="14">
        <f>IFERROR(__xludf.DUMMYFUNCTION("SPLIT(G1033, "", "")"),44462.0)</f>
        <v>44462</v>
      </c>
      <c r="I1033" s="15">
        <f>IFERROR(__xludf.DUMMYFUNCTION("""COMPUTED_VALUE"""),0.6997569444444445)</f>
        <v>0.6997569444</v>
      </c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</row>
    <row r="1034">
      <c r="A1034" s="12">
        <v>3.62</v>
      </c>
      <c r="B1034" s="12">
        <v>228.6</v>
      </c>
      <c r="C1034" s="12">
        <v>529.2</v>
      </c>
      <c r="D1034" s="12">
        <v>4.1</v>
      </c>
      <c r="E1034" s="12">
        <v>0.64</v>
      </c>
      <c r="F1034" s="12">
        <v>50.0</v>
      </c>
      <c r="G1034" s="13">
        <v>44462.69986739583</v>
      </c>
      <c r="H1034" s="14">
        <f>IFERROR(__xludf.DUMMYFUNCTION("SPLIT(G1034, "", "")"),44462.0)</f>
        <v>44462</v>
      </c>
      <c r="I1034" s="15">
        <f>IFERROR(__xludf.DUMMYFUNCTION("""COMPUTED_VALUE"""),0.6998726851851852)</f>
        <v>0.6998726852</v>
      </c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</row>
    <row r="1035">
      <c r="A1035" s="12">
        <v>3.62</v>
      </c>
      <c r="B1035" s="12">
        <v>228.5</v>
      </c>
      <c r="C1035" s="12">
        <v>529.2</v>
      </c>
      <c r="D1035" s="12">
        <v>4.1</v>
      </c>
      <c r="E1035" s="12">
        <v>0.64</v>
      </c>
      <c r="F1035" s="12">
        <v>50.0</v>
      </c>
      <c r="G1035" s="13">
        <v>44462.69997165509</v>
      </c>
      <c r="H1035" s="14">
        <f>IFERROR(__xludf.DUMMYFUNCTION("SPLIT(G1035, "", "")"),44462.0)</f>
        <v>44462</v>
      </c>
      <c r="I1035" s="15">
        <f>IFERROR(__xludf.DUMMYFUNCTION("""COMPUTED_VALUE"""),0.6999768518518519)</f>
        <v>0.6999768519</v>
      </c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</row>
    <row r="1036">
      <c r="A1036" s="12">
        <v>3.61</v>
      </c>
      <c r="B1036" s="12">
        <v>228.6</v>
      </c>
      <c r="C1036" s="12">
        <v>529.3</v>
      </c>
      <c r="D1036" s="12">
        <v>4.1</v>
      </c>
      <c r="E1036" s="12">
        <v>0.64</v>
      </c>
      <c r="F1036" s="12">
        <v>50.0</v>
      </c>
      <c r="G1036" s="13">
        <v>44462.7000690162</v>
      </c>
      <c r="H1036" s="14">
        <f>IFERROR(__xludf.DUMMYFUNCTION("SPLIT(G1036, "", "")"),44462.0)</f>
        <v>44462</v>
      </c>
      <c r="I1036" s="15">
        <f>IFERROR(__xludf.DUMMYFUNCTION("""COMPUTED_VALUE"""),0.7000694444444444)</f>
        <v>0.7000694444</v>
      </c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</row>
    <row r="1037">
      <c r="A1037" s="12">
        <v>3.62</v>
      </c>
      <c r="B1037" s="12">
        <v>228.7</v>
      </c>
      <c r="C1037" s="12">
        <v>529.3</v>
      </c>
      <c r="D1037" s="12">
        <v>4.1</v>
      </c>
      <c r="E1037" s="12">
        <v>0.64</v>
      </c>
      <c r="F1037" s="12">
        <v>50.0</v>
      </c>
      <c r="G1037" s="13">
        <v>44462.7001709375</v>
      </c>
      <c r="H1037" s="14">
        <f>IFERROR(__xludf.DUMMYFUNCTION("SPLIT(G1037, "", "")"),44462.0)</f>
        <v>44462</v>
      </c>
      <c r="I1037" s="15">
        <f>IFERROR(__xludf.DUMMYFUNCTION("""COMPUTED_VALUE"""),0.7001736111111111)</f>
        <v>0.7001736111</v>
      </c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</row>
    <row r="1038">
      <c r="A1038" s="12">
        <v>3.62</v>
      </c>
      <c r="B1038" s="12">
        <v>228.6</v>
      </c>
      <c r="C1038" s="12">
        <v>529.5</v>
      </c>
      <c r="D1038" s="12">
        <v>4.1</v>
      </c>
      <c r="E1038" s="12">
        <v>0.64</v>
      </c>
      <c r="F1038" s="12">
        <v>50.0</v>
      </c>
      <c r="G1038" s="13">
        <v>44462.70027680555</v>
      </c>
      <c r="H1038" s="14">
        <f>IFERROR(__xludf.DUMMYFUNCTION("SPLIT(G1038, "", "")"),44462.0)</f>
        <v>44462</v>
      </c>
      <c r="I1038" s="15">
        <f>IFERROR(__xludf.DUMMYFUNCTION("""COMPUTED_VALUE"""),0.7002777777777778)</f>
        <v>0.7002777778</v>
      </c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</row>
    <row r="1039">
      <c r="A1039" s="12">
        <v>3.62</v>
      </c>
      <c r="B1039" s="12">
        <v>228.6</v>
      </c>
      <c r="C1039" s="12">
        <v>529.5</v>
      </c>
      <c r="D1039" s="12">
        <v>4.11</v>
      </c>
      <c r="E1039" s="12">
        <v>0.64</v>
      </c>
      <c r="F1039" s="12">
        <v>50.0</v>
      </c>
      <c r="G1039" s="13">
        <v>44462.70038282407</v>
      </c>
      <c r="H1039" s="14">
        <f>IFERROR(__xludf.DUMMYFUNCTION("SPLIT(G1039, "", "")"),44462.0)</f>
        <v>44462</v>
      </c>
      <c r="I1039" s="15">
        <f>IFERROR(__xludf.DUMMYFUNCTION("""COMPUTED_VALUE"""),0.7003819444444445)</f>
        <v>0.7003819444</v>
      </c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</row>
    <row r="1040">
      <c r="A1040" s="12">
        <v>3.61</v>
      </c>
      <c r="B1040" s="12">
        <v>228.7</v>
      </c>
      <c r="C1040" s="12">
        <v>529.5</v>
      </c>
      <c r="D1040" s="12">
        <v>4.11</v>
      </c>
      <c r="E1040" s="12">
        <v>0.64</v>
      </c>
      <c r="F1040" s="12">
        <v>50.0</v>
      </c>
      <c r="G1040" s="13">
        <v>44462.70049209491</v>
      </c>
      <c r="H1040" s="14">
        <f>IFERROR(__xludf.DUMMYFUNCTION("SPLIT(G1040, "", "")"),44462.0)</f>
        <v>44462</v>
      </c>
      <c r="I1040" s="15">
        <f>IFERROR(__xludf.DUMMYFUNCTION("""COMPUTED_VALUE"""),0.7004976851851852)</f>
        <v>0.7004976852</v>
      </c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</row>
    <row r="1041">
      <c r="A1041" s="12">
        <v>3.61</v>
      </c>
      <c r="B1041" s="12">
        <v>228.7</v>
      </c>
      <c r="C1041" s="12">
        <v>529.6</v>
      </c>
      <c r="D1041" s="12">
        <v>4.11</v>
      </c>
      <c r="E1041" s="12">
        <v>0.64</v>
      </c>
      <c r="F1041" s="12">
        <v>50.0</v>
      </c>
      <c r="G1041" s="13">
        <v>44462.70059408565</v>
      </c>
      <c r="H1041" s="14">
        <f>IFERROR(__xludf.DUMMYFUNCTION("SPLIT(G1041, "", "")"),44462.0)</f>
        <v>44462</v>
      </c>
      <c r="I1041" s="15">
        <f>IFERROR(__xludf.DUMMYFUNCTION("""COMPUTED_VALUE"""),0.7005902777777778)</f>
        <v>0.7005902778</v>
      </c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</row>
    <row r="1042">
      <c r="A1042" s="12">
        <v>3.61</v>
      </c>
      <c r="B1042" s="12">
        <v>228.7</v>
      </c>
      <c r="C1042" s="12">
        <v>529.7</v>
      </c>
      <c r="D1042" s="12">
        <v>4.11</v>
      </c>
      <c r="E1042" s="12">
        <v>0.64</v>
      </c>
      <c r="F1042" s="12">
        <v>50.0</v>
      </c>
      <c r="G1042" s="13">
        <v>44462.70069578703</v>
      </c>
      <c r="H1042" s="14">
        <f>IFERROR(__xludf.DUMMYFUNCTION("SPLIT(G1042, "", "")"),44462.0)</f>
        <v>44462</v>
      </c>
      <c r="I1042" s="15">
        <f>IFERROR(__xludf.DUMMYFUNCTION("""COMPUTED_VALUE"""),0.7006944444444444)</f>
        <v>0.7006944444</v>
      </c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</row>
    <row r="1043">
      <c r="A1043" s="12">
        <v>3.61</v>
      </c>
      <c r="B1043" s="12">
        <v>228.7</v>
      </c>
      <c r="C1043" s="12">
        <v>529.7</v>
      </c>
      <c r="D1043" s="12">
        <v>4.11</v>
      </c>
      <c r="E1043" s="12">
        <v>0.64</v>
      </c>
      <c r="F1043" s="12">
        <v>50.0</v>
      </c>
      <c r="G1043" s="13">
        <v>44462.700800844905</v>
      </c>
      <c r="H1043" s="14">
        <f>IFERROR(__xludf.DUMMYFUNCTION("SPLIT(G1043, "", "")"),44462.0)</f>
        <v>44462</v>
      </c>
      <c r="I1043" s="15">
        <f>IFERROR(__xludf.DUMMYFUNCTION("""COMPUTED_VALUE"""),0.7007986111111111)</f>
        <v>0.7007986111</v>
      </c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</row>
    <row r="1044">
      <c r="A1044" s="12">
        <v>3.61</v>
      </c>
      <c r="B1044" s="12">
        <v>228.7</v>
      </c>
      <c r="C1044" s="12">
        <v>529.8</v>
      </c>
      <c r="D1044" s="12">
        <v>4.11</v>
      </c>
      <c r="E1044" s="12">
        <v>0.64</v>
      </c>
      <c r="F1044" s="12">
        <v>50.0</v>
      </c>
      <c r="G1044" s="13">
        <v>44462.7009033912</v>
      </c>
      <c r="H1044" s="14">
        <f>IFERROR(__xludf.DUMMYFUNCTION("SPLIT(G1044, "", "")"),44462.0)</f>
        <v>44462</v>
      </c>
      <c r="I1044" s="15">
        <f>IFERROR(__xludf.DUMMYFUNCTION("""COMPUTED_VALUE"""),0.7009027777777778)</f>
        <v>0.7009027778</v>
      </c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</row>
    <row r="1045">
      <c r="A1045" s="12">
        <v>3.61</v>
      </c>
      <c r="B1045" s="12">
        <v>228.7</v>
      </c>
      <c r="C1045" s="12">
        <v>529.9</v>
      </c>
      <c r="D1045" s="12">
        <v>4.11</v>
      </c>
      <c r="E1045" s="12">
        <v>0.64</v>
      </c>
      <c r="F1045" s="12">
        <v>50.0</v>
      </c>
      <c r="G1045" s="13">
        <v>44462.701005104165</v>
      </c>
      <c r="H1045" s="14">
        <f>IFERROR(__xludf.DUMMYFUNCTION("SPLIT(G1045, "", "")"),44462.0)</f>
        <v>44462</v>
      </c>
      <c r="I1045" s="15">
        <f>IFERROR(__xludf.DUMMYFUNCTION("""COMPUTED_VALUE"""),0.7010069444444444)</f>
        <v>0.7010069444</v>
      </c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</row>
    <row r="1046">
      <c r="A1046" s="12">
        <v>3.62</v>
      </c>
      <c r="B1046" s="12">
        <v>228.8</v>
      </c>
      <c r="C1046" s="12">
        <v>530.0</v>
      </c>
      <c r="D1046" s="12">
        <v>4.11</v>
      </c>
      <c r="E1046" s="12">
        <v>0.64</v>
      </c>
      <c r="F1046" s="12">
        <v>50.0</v>
      </c>
      <c r="G1046" s="13">
        <v>44462.701107685185</v>
      </c>
      <c r="H1046" s="14">
        <f>IFERROR(__xludf.DUMMYFUNCTION("SPLIT(G1046, "", "")"),44462.0)</f>
        <v>44462</v>
      </c>
      <c r="I1046" s="15">
        <f>IFERROR(__xludf.DUMMYFUNCTION("""COMPUTED_VALUE"""),0.7011111111111111)</f>
        <v>0.7011111111</v>
      </c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</row>
    <row r="1047">
      <c r="A1047" s="12">
        <v>3.63</v>
      </c>
      <c r="B1047" s="12">
        <v>228.1</v>
      </c>
      <c r="C1047" s="12">
        <v>529.8</v>
      </c>
      <c r="D1047" s="12">
        <v>4.12</v>
      </c>
      <c r="E1047" s="12">
        <v>0.64</v>
      </c>
      <c r="F1047" s="12">
        <v>50.0</v>
      </c>
      <c r="G1047" s="13">
        <v>44462.70121138889</v>
      </c>
      <c r="H1047" s="14">
        <f>IFERROR(__xludf.DUMMYFUNCTION("SPLIT(G1047, "", "")"),44462.0)</f>
        <v>44462</v>
      </c>
      <c r="I1047" s="15">
        <f>IFERROR(__xludf.DUMMYFUNCTION("""COMPUTED_VALUE"""),0.7012152777777778)</f>
        <v>0.7012152778</v>
      </c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</row>
    <row r="1048">
      <c r="A1048" s="12">
        <v>3.61</v>
      </c>
      <c r="B1048" s="12">
        <v>228.7</v>
      </c>
      <c r="C1048" s="12">
        <v>530.1</v>
      </c>
      <c r="D1048" s="12">
        <v>4.12</v>
      </c>
      <c r="E1048" s="12">
        <v>0.64</v>
      </c>
      <c r="F1048" s="12">
        <v>50.0</v>
      </c>
      <c r="G1048" s="13">
        <v>44462.70131229167</v>
      </c>
      <c r="H1048" s="14">
        <f>IFERROR(__xludf.DUMMYFUNCTION("SPLIT(G1048, "", "")"),44462.0)</f>
        <v>44462</v>
      </c>
      <c r="I1048" s="15">
        <f>IFERROR(__xludf.DUMMYFUNCTION("""COMPUTED_VALUE"""),0.7013078703703703)</f>
        <v>0.7013078704</v>
      </c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</row>
    <row r="1049">
      <c r="A1049" s="12">
        <v>3.62</v>
      </c>
      <c r="B1049" s="12">
        <v>228.6</v>
      </c>
      <c r="C1049" s="12">
        <v>530.1</v>
      </c>
      <c r="D1049" s="12">
        <v>4.12</v>
      </c>
      <c r="E1049" s="12">
        <v>0.64</v>
      </c>
      <c r="F1049" s="12">
        <v>50.0</v>
      </c>
      <c r="G1049" s="13">
        <v>44462.70141572917</v>
      </c>
      <c r="H1049" s="14">
        <f>IFERROR(__xludf.DUMMYFUNCTION("SPLIT(G1049, "", "")"),44462.0)</f>
        <v>44462</v>
      </c>
      <c r="I1049" s="15">
        <f>IFERROR(__xludf.DUMMYFUNCTION("""COMPUTED_VALUE"""),0.701412037037037)</f>
        <v>0.701412037</v>
      </c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</row>
    <row r="1050">
      <c r="A1050" s="12">
        <v>3.62</v>
      </c>
      <c r="B1050" s="12">
        <v>228.6</v>
      </c>
      <c r="C1050" s="12">
        <v>530.2</v>
      </c>
      <c r="D1050" s="12">
        <v>4.12</v>
      </c>
      <c r="E1050" s="12">
        <v>0.64</v>
      </c>
      <c r="F1050" s="12">
        <v>50.0</v>
      </c>
      <c r="G1050" s="13">
        <v>44462.701515347224</v>
      </c>
      <c r="H1050" s="14">
        <f>IFERROR(__xludf.DUMMYFUNCTION("SPLIT(G1050, "", "")"),44462.0)</f>
        <v>44462</v>
      </c>
      <c r="I1050" s="15">
        <f>IFERROR(__xludf.DUMMYFUNCTION("""COMPUTED_VALUE"""),0.7015162037037037)</f>
        <v>0.7015162037</v>
      </c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</row>
    <row r="1051">
      <c r="A1051" s="12">
        <v>3.62</v>
      </c>
      <c r="B1051" s="12">
        <v>228.6</v>
      </c>
      <c r="C1051" s="12">
        <v>530.3</v>
      </c>
      <c r="D1051" s="12">
        <v>4.12</v>
      </c>
      <c r="E1051" s="12">
        <v>0.64</v>
      </c>
      <c r="F1051" s="12">
        <v>50.0</v>
      </c>
      <c r="G1051" s="13">
        <v>44462.701615868056</v>
      </c>
      <c r="H1051" s="14">
        <f>IFERROR(__xludf.DUMMYFUNCTION("SPLIT(G1051, "", "")"),44462.0)</f>
        <v>44462</v>
      </c>
      <c r="I1051" s="15">
        <f>IFERROR(__xludf.DUMMYFUNCTION("""COMPUTED_VALUE"""),0.7016203703703704)</f>
        <v>0.7016203704</v>
      </c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</row>
    <row r="1052">
      <c r="A1052" s="12">
        <v>3.62</v>
      </c>
      <c r="B1052" s="12">
        <v>228.7</v>
      </c>
      <c r="C1052" s="12">
        <v>530.3</v>
      </c>
      <c r="D1052" s="12">
        <v>4.12</v>
      </c>
      <c r="E1052" s="12">
        <v>0.64</v>
      </c>
      <c r="F1052" s="12">
        <v>50.0</v>
      </c>
      <c r="G1052" s="13">
        <v>44462.7017216088</v>
      </c>
      <c r="H1052" s="14">
        <f>IFERROR(__xludf.DUMMYFUNCTION("SPLIT(G1052, "", "")"),44462.0)</f>
        <v>44462</v>
      </c>
      <c r="I1052" s="15">
        <f>IFERROR(__xludf.DUMMYFUNCTION("""COMPUTED_VALUE"""),0.7017245370370371)</f>
        <v>0.701724537</v>
      </c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</row>
    <row r="1053">
      <c r="A1053" s="12">
        <v>3.62</v>
      </c>
      <c r="B1053" s="12">
        <v>228.7</v>
      </c>
      <c r="C1053" s="12">
        <v>530.4</v>
      </c>
      <c r="D1053" s="12">
        <v>4.12</v>
      </c>
      <c r="E1053" s="12">
        <v>0.64</v>
      </c>
      <c r="F1053" s="12">
        <v>50.0</v>
      </c>
      <c r="G1053" s="13">
        <v>44462.70187396991</v>
      </c>
      <c r="H1053" s="14">
        <f>IFERROR(__xludf.DUMMYFUNCTION("SPLIT(G1053, "", "")"),44462.0)</f>
        <v>44462</v>
      </c>
      <c r="I1053" s="15">
        <f>IFERROR(__xludf.DUMMYFUNCTION("""COMPUTED_VALUE"""),0.701875)</f>
        <v>0.701875</v>
      </c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</row>
    <row r="1054">
      <c r="A1054" s="12">
        <v>3.62</v>
      </c>
      <c r="B1054" s="12">
        <v>228.8</v>
      </c>
      <c r="C1054" s="12">
        <v>530.5</v>
      </c>
      <c r="D1054" s="12">
        <v>4.13</v>
      </c>
      <c r="E1054" s="12">
        <v>0.64</v>
      </c>
      <c r="F1054" s="12">
        <v>50.0</v>
      </c>
      <c r="G1054" s="13">
        <v>44462.70198384259</v>
      </c>
      <c r="H1054" s="14">
        <f>IFERROR(__xludf.DUMMYFUNCTION("SPLIT(G1054, "", "")"),44462.0)</f>
        <v>44462</v>
      </c>
      <c r="I1054" s="15">
        <f>IFERROR(__xludf.DUMMYFUNCTION("""COMPUTED_VALUE"""),0.7019791666666667)</f>
        <v>0.7019791667</v>
      </c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</row>
    <row r="1055">
      <c r="A1055" s="12">
        <v>3.62</v>
      </c>
      <c r="B1055" s="12">
        <v>228.6</v>
      </c>
      <c r="C1055" s="12">
        <v>530.6</v>
      </c>
      <c r="D1055" s="12">
        <v>4.13</v>
      </c>
      <c r="E1055" s="12">
        <v>0.64</v>
      </c>
      <c r="F1055" s="12">
        <v>50.0</v>
      </c>
      <c r="G1055" s="13">
        <v>44462.702083310185</v>
      </c>
      <c r="H1055" s="14">
        <f>IFERROR(__xludf.DUMMYFUNCTION("SPLIT(G1055, "", "")"),44462.0)</f>
        <v>44462</v>
      </c>
      <c r="I1055" s="15">
        <f>IFERROR(__xludf.DUMMYFUNCTION("""COMPUTED_VALUE"""),0.7020833333333333)</f>
        <v>0.7020833333</v>
      </c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</row>
    <row r="1056">
      <c r="A1056" s="12">
        <v>3.63</v>
      </c>
      <c r="B1056" s="12">
        <v>228.6</v>
      </c>
      <c r="C1056" s="12">
        <v>530.6</v>
      </c>
      <c r="D1056" s="12">
        <v>4.13</v>
      </c>
      <c r="E1056" s="12">
        <v>0.64</v>
      </c>
      <c r="F1056" s="12">
        <v>50.0</v>
      </c>
      <c r="G1056" s="13">
        <v>44462.70218875</v>
      </c>
      <c r="H1056" s="14">
        <f>IFERROR(__xludf.DUMMYFUNCTION("SPLIT(G1056, "", "")"),44462.0)</f>
        <v>44462</v>
      </c>
      <c r="I1056" s="15">
        <f>IFERROR(__xludf.DUMMYFUNCTION("""COMPUTED_VALUE"""),0.7021875)</f>
        <v>0.7021875</v>
      </c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</row>
    <row r="1057">
      <c r="A1057" s="12">
        <v>3.62</v>
      </c>
      <c r="B1057" s="12">
        <v>228.6</v>
      </c>
      <c r="C1057" s="12">
        <v>530.7</v>
      </c>
      <c r="D1057" s="12">
        <v>4.13</v>
      </c>
      <c r="E1057" s="12">
        <v>0.64</v>
      </c>
      <c r="F1057" s="12">
        <v>50.0</v>
      </c>
      <c r="G1057" s="13">
        <v>44462.70229166667</v>
      </c>
      <c r="H1057" s="14">
        <f>IFERROR(__xludf.DUMMYFUNCTION("SPLIT(G1057, "", "")"),44462.0)</f>
        <v>44462</v>
      </c>
      <c r="I1057" s="15">
        <f>IFERROR(__xludf.DUMMYFUNCTION("""COMPUTED_VALUE"""),0.7022916666666666)</f>
        <v>0.7022916667</v>
      </c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</row>
    <row r="1058">
      <c r="A1058" s="12">
        <v>3.62</v>
      </c>
      <c r="B1058" s="12">
        <v>228.4</v>
      </c>
      <c r="C1058" s="12">
        <v>530.8</v>
      </c>
      <c r="D1058" s="12">
        <v>4.13</v>
      </c>
      <c r="E1058" s="12">
        <v>0.64</v>
      </c>
      <c r="F1058" s="12">
        <v>50.0</v>
      </c>
      <c r="G1058" s="13">
        <v>44462.70239579861</v>
      </c>
      <c r="H1058" s="14">
        <f>IFERROR(__xludf.DUMMYFUNCTION("SPLIT(G1058, "", "")"),44462.0)</f>
        <v>44462</v>
      </c>
      <c r="I1058" s="15">
        <f>IFERROR(__xludf.DUMMYFUNCTION("""COMPUTED_VALUE"""),0.7023958333333333)</f>
        <v>0.7023958333</v>
      </c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</row>
    <row r="1059">
      <c r="A1059" s="12">
        <v>3.63</v>
      </c>
      <c r="B1059" s="12">
        <v>228.4</v>
      </c>
      <c r="C1059" s="12">
        <v>530.9</v>
      </c>
      <c r="D1059" s="12">
        <v>4.13</v>
      </c>
      <c r="E1059" s="12">
        <v>0.64</v>
      </c>
      <c r="F1059" s="12">
        <v>50.0</v>
      </c>
      <c r="G1059" s="13">
        <v>44462.70249846065</v>
      </c>
      <c r="H1059" s="14">
        <f>IFERROR(__xludf.DUMMYFUNCTION("SPLIT(G1059, "", "")"),44462.0)</f>
        <v>44462</v>
      </c>
      <c r="I1059" s="15">
        <f>IFERROR(__xludf.DUMMYFUNCTION("""COMPUTED_VALUE"""),0.7025)</f>
        <v>0.7025</v>
      </c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</row>
    <row r="1060">
      <c r="A1060" s="12">
        <v>3.62</v>
      </c>
      <c r="B1060" s="12">
        <v>228.3</v>
      </c>
      <c r="C1060" s="12">
        <v>530.9</v>
      </c>
      <c r="D1060" s="12">
        <v>4.13</v>
      </c>
      <c r="E1060" s="12">
        <v>0.64</v>
      </c>
      <c r="F1060" s="12">
        <v>50.0</v>
      </c>
      <c r="G1060" s="13">
        <v>44462.70260087963</v>
      </c>
      <c r="H1060" s="14">
        <f>IFERROR(__xludf.DUMMYFUNCTION("SPLIT(G1060, "", "")"),44462.0)</f>
        <v>44462</v>
      </c>
      <c r="I1060" s="15">
        <f>IFERROR(__xludf.DUMMYFUNCTION("""COMPUTED_VALUE"""),0.7026041666666667)</f>
        <v>0.7026041667</v>
      </c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</row>
    <row r="1061">
      <c r="A1061" s="12">
        <v>3.62</v>
      </c>
      <c r="B1061" s="12">
        <v>228.5</v>
      </c>
      <c r="C1061" s="12">
        <v>531.0</v>
      </c>
      <c r="D1061" s="12">
        <v>4.14</v>
      </c>
      <c r="E1061" s="12">
        <v>0.64</v>
      </c>
      <c r="F1061" s="12">
        <v>50.0</v>
      </c>
      <c r="G1061" s="13">
        <v>44462.7027088426</v>
      </c>
      <c r="H1061" s="14">
        <f>IFERROR(__xludf.DUMMYFUNCTION("SPLIT(G1061, "", "")"),44462.0)</f>
        <v>44462</v>
      </c>
      <c r="I1061" s="15">
        <f>IFERROR(__xludf.DUMMYFUNCTION("""COMPUTED_VALUE"""),0.7027083333333334)</f>
        <v>0.7027083333</v>
      </c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</row>
    <row r="1062">
      <c r="A1062" s="12">
        <v>3.62</v>
      </c>
      <c r="B1062" s="12">
        <v>228.5</v>
      </c>
      <c r="C1062" s="12">
        <v>531.0</v>
      </c>
      <c r="D1062" s="12">
        <v>4.14</v>
      </c>
      <c r="E1062" s="12">
        <v>0.64</v>
      </c>
      <c r="F1062" s="12">
        <v>50.0</v>
      </c>
      <c r="G1062" s="13">
        <v>44462.702819259255</v>
      </c>
      <c r="H1062" s="14">
        <f>IFERROR(__xludf.DUMMYFUNCTION("SPLIT(G1062, "", "")"),44462.0)</f>
        <v>44462</v>
      </c>
      <c r="I1062" s="15">
        <f>IFERROR(__xludf.DUMMYFUNCTION("""COMPUTED_VALUE"""),0.7028240740740741)</f>
        <v>0.7028240741</v>
      </c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</row>
    <row r="1063">
      <c r="A1063" s="12">
        <v>3.63</v>
      </c>
      <c r="B1063" s="12">
        <v>228.7</v>
      </c>
      <c r="C1063" s="12">
        <v>531.2</v>
      </c>
      <c r="D1063" s="12">
        <v>4.14</v>
      </c>
      <c r="E1063" s="12">
        <v>0.64</v>
      </c>
      <c r="F1063" s="12">
        <v>50.0</v>
      </c>
      <c r="G1063" s="13">
        <v>44462.70292090278</v>
      </c>
      <c r="H1063" s="14">
        <f>IFERROR(__xludf.DUMMYFUNCTION("SPLIT(G1063, "", "")"),44462.0)</f>
        <v>44462</v>
      </c>
      <c r="I1063" s="15">
        <f>IFERROR(__xludf.DUMMYFUNCTION("""COMPUTED_VALUE"""),0.7029166666666666)</f>
        <v>0.7029166667</v>
      </c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</row>
    <row r="1064">
      <c r="A1064" s="12">
        <v>3.62</v>
      </c>
      <c r="B1064" s="12">
        <v>228.7</v>
      </c>
      <c r="C1064" s="12">
        <v>531.3</v>
      </c>
      <c r="D1064" s="12">
        <v>4.14</v>
      </c>
      <c r="E1064" s="12">
        <v>0.64</v>
      </c>
      <c r="F1064" s="12">
        <v>50.0</v>
      </c>
      <c r="G1064" s="13">
        <v>44462.703026400464</v>
      </c>
      <c r="H1064" s="14">
        <f>IFERROR(__xludf.DUMMYFUNCTION("SPLIT(G1064, "", "")"),44462.0)</f>
        <v>44462</v>
      </c>
      <c r="I1064" s="15">
        <f>IFERROR(__xludf.DUMMYFUNCTION("""COMPUTED_VALUE"""),0.7030208333333333)</f>
        <v>0.7030208333</v>
      </c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</row>
    <row r="1065">
      <c r="A1065" s="12">
        <v>3.63</v>
      </c>
      <c r="B1065" s="12">
        <v>228.5</v>
      </c>
      <c r="C1065" s="12">
        <v>531.2</v>
      </c>
      <c r="D1065" s="12">
        <v>4.14</v>
      </c>
      <c r="E1065" s="12">
        <v>0.64</v>
      </c>
      <c r="F1065" s="12">
        <v>50.0</v>
      </c>
      <c r="G1065" s="13">
        <v>44462.703136620374</v>
      </c>
      <c r="H1065" s="14">
        <f>IFERROR(__xludf.DUMMYFUNCTION("SPLIT(G1065, "", "")"),44462.0)</f>
        <v>44462</v>
      </c>
      <c r="I1065" s="15">
        <f>IFERROR(__xludf.DUMMYFUNCTION("""COMPUTED_VALUE"""),0.703136574074074)</f>
        <v>0.7031365741</v>
      </c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</row>
    <row r="1066">
      <c r="A1066" s="12">
        <v>3.62</v>
      </c>
      <c r="B1066" s="12">
        <v>228.5</v>
      </c>
      <c r="C1066" s="12">
        <v>531.4</v>
      </c>
      <c r="D1066" s="12">
        <v>4.14</v>
      </c>
      <c r="E1066" s="12">
        <v>0.64</v>
      </c>
      <c r="F1066" s="12">
        <v>50.0</v>
      </c>
      <c r="G1066" s="13">
        <v>44462.7032458912</v>
      </c>
      <c r="H1066" s="14">
        <f>IFERROR(__xludf.DUMMYFUNCTION("SPLIT(G1066, "", "")"),44462.0)</f>
        <v>44462</v>
      </c>
      <c r="I1066" s="15">
        <f>IFERROR(__xludf.DUMMYFUNCTION("""COMPUTED_VALUE"""),0.7032407407407407)</f>
        <v>0.7032407407</v>
      </c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</row>
    <row r="1067">
      <c r="A1067" s="12">
        <v>3.62</v>
      </c>
      <c r="B1067" s="12">
        <v>228.6</v>
      </c>
      <c r="C1067" s="12">
        <v>531.4</v>
      </c>
      <c r="D1067" s="12">
        <v>4.14</v>
      </c>
      <c r="E1067" s="12">
        <v>0.64</v>
      </c>
      <c r="F1067" s="12">
        <v>50.0</v>
      </c>
      <c r="G1067" s="13">
        <v>44462.70335310185</v>
      </c>
      <c r="H1067" s="14">
        <f>IFERROR(__xludf.DUMMYFUNCTION("SPLIT(G1067, "", "")"),44462.0)</f>
        <v>44462</v>
      </c>
      <c r="I1067" s="15">
        <f>IFERROR(__xludf.DUMMYFUNCTION("""COMPUTED_VALUE"""),0.7033564814814814)</f>
        <v>0.7033564815</v>
      </c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</row>
    <row r="1068">
      <c r="A1068" s="12">
        <v>3.61</v>
      </c>
      <c r="B1068" s="12">
        <v>228.7</v>
      </c>
      <c r="C1068" s="12">
        <v>531.5</v>
      </c>
      <c r="D1068" s="12">
        <v>4.14</v>
      </c>
      <c r="E1068" s="12">
        <v>0.64</v>
      </c>
      <c r="F1068" s="12">
        <v>50.0</v>
      </c>
      <c r="G1068" s="13">
        <v>44462.703458344906</v>
      </c>
      <c r="H1068" s="14">
        <f>IFERROR(__xludf.DUMMYFUNCTION("SPLIT(G1068, "", "")"),44462.0)</f>
        <v>44462</v>
      </c>
      <c r="I1068" s="15">
        <f>IFERROR(__xludf.DUMMYFUNCTION("""COMPUTED_VALUE"""),0.7034606481481481)</f>
        <v>0.7034606481</v>
      </c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</row>
    <row r="1069">
      <c r="A1069" s="12">
        <v>3.63</v>
      </c>
      <c r="B1069" s="12">
        <v>228.6</v>
      </c>
      <c r="C1069" s="12">
        <v>531.7</v>
      </c>
      <c r="D1069" s="12">
        <v>4.15</v>
      </c>
      <c r="E1069" s="12">
        <v>0.64</v>
      </c>
      <c r="F1069" s="12">
        <v>50.0</v>
      </c>
      <c r="G1069" s="13">
        <v>44462.70356436343</v>
      </c>
      <c r="H1069" s="14">
        <f>IFERROR(__xludf.DUMMYFUNCTION("SPLIT(G1069, "", "")"),44462.0)</f>
        <v>44462</v>
      </c>
      <c r="I1069" s="15">
        <f>IFERROR(__xludf.DUMMYFUNCTION("""COMPUTED_VALUE"""),0.7035648148148148)</f>
        <v>0.7035648148</v>
      </c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</row>
    <row r="1070">
      <c r="A1070" s="12">
        <v>3.62</v>
      </c>
      <c r="B1070" s="12">
        <v>228.6</v>
      </c>
      <c r="C1070" s="12">
        <v>531.7</v>
      </c>
      <c r="D1070" s="12">
        <v>4.15</v>
      </c>
      <c r="E1070" s="12">
        <v>0.64</v>
      </c>
      <c r="F1070" s="12">
        <v>50.0</v>
      </c>
      <c r="G1070" s="13">
        <v>44462.703667442125</v>
      </c>
      <c r="H1070" s="14">
        <f>IFERROR(__xludf.DUMMYFUNCTION("SPLIT(G1070, "", "")"),44462.0)</f>
        <v>44462</v>
      </c>
      <c r="I1070" s="15">
        <f>IFERROR(__xludf.DUMMYFUNCTION("""COMPUTED_VALUE"""),0.7036689814814815)</f>
        <v>0.7036689815</v>
      </c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</row>
    <row r="1071">
      <c r="A1071" s="12">
        <v>3.62</v>
      </c>
      <c r="B1071" s="12">
        <v>228.7</v>
      </c>
      <c r="C1071" s="12">
        <v>531.8</v>
      </c>
      <c r="D1071" s="12">
        <v>4.15</v>
      </c>
      <c r="E1071" s="12">
        <v>0.64</v>
      </c>
      <c r="F1071" s="12">
        <v>50.0</v>
      </c>
      <c r="G1071" s="13">
        <v>44462.70376797454</v>
      </c>
      <c r="H1071" s="14">
        <f>IFERROR(__xludf.DUMMYFUNCTION("SPLIT(G1071, "", "")"),44462.0)</f>
        <v>44462</v>
      </c>
      <c r="I1071" s="15">
        <f>IFERROR(__xludf.DUMMYFUNCTION("""COMPUTED_VALUE"""),0.7037731481481482)</f>
        <v>0.7037731481</v>
      </c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</row>
    <row r="1072">
      <c r="A1072" s="12">
        <v>3.62</v>
      </c>
      <c r="B1072" s="12">
        <v>228.8</v>
      </c>
      <c r="C1072" s="12">
        <v>531.9</v>
      </c>
      <c r="D1072" s="12">
        <v>4.15</v>
      </c>
      <c r="E1072" s="12">
        <v>0.64</v>
      </c>
      <c r="F1072" s="12">
        <v>50.0</v>
      </c>
      <c r="G1072" s="13">
        <v>44462.703869861114</v>
      </c>
      <c r="H1072" s="14">
        <f>IFERROR(__xludf.DUMMYFUNCTION("SPLIT(G1072, "", "")"),44462.0)</f>
        <v>44462</v>
      </c>
      <c r="I1072" s="15">
        <f>IFERROR(__xludf.DUMMYFUNCTION("""COMPUTED_VALUE"""),0.7038657407407407)</f>
        <v>0.7038657407</v>
      </c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</row>
    <row r="1073">
      <c r="A1073" s="12">
        <v>3.63</v>
      </c>
      <c r="B1073" s="12">
        <v>228.6</v>
      </c>
      <c r="C1073" s="12">
        <v>532.0</v>
      </c>
      <c r="D1073" s="12">
        <v>4.15</v>
      </c>
      <c r="E1073" s="12">
        <v>0.64</v>
      </c>
      <c r="F1073" s="12">
        <v>50.0</v>
      </c>
      <c r="G1073" s="13">
        <v>44462.703971724535</v>
      </c>
      <c r="H1073" s="14">
        <f>IFERROR(__xludf.DUMMYFUNCTION("SPLIT(G1073, "", "")"),44462.0)</f>
        <v>44462</v>
      </c>
      <c r="I1073" s="15">
        <f>IFERROR(__xludf.DUMMYFUNCTION("""COMPUTED_VALUE"""),0.7039699074074074)</f>
        <v>0.7039699074</v>
      </c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</row>
    <row r="1074">
      <c r="A1074" s="12">
        <v>3.63</v>
      </c>
      <c r="B1074" s="12">
        <v>228.6</v>
      </c>
      <c r="C1074" s="12">
        <v>532.1</v>
      </c>
      <c r="D1074" s="12">
        <v>4.15</v>
      </c>
      <c r="E1074" s="12">
        <v>0.64</v>
      </c>
      <c r="F1074" s="12">
        <v>50.0</v>
      </c>
      <c r="G1074" s="13">
        <v>44462.70407866898</v>
      </c>
      <c r="H1074" s="14">
        <f>IFERROR(__xludf.DUMMYFUNCTION("SPLIT(G1074, "", "")"),44462.0)</f>
        <v>44462</v>
      </c>
      <c r="I1074" s="15">
        <f>IFERROR(__xludf.DUMMYFUNCTION("""COMPUTED_VALUE"""),0.7040740740740741)</f>
        <v>0.7040740741</v>
      </c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</row>
    <row r="1075">
      <c r="A1075" s="12">
        <v>3.61</v>
      </c>
      <c r="B1075" s="12">
        <v>228.7</v>
      </c>
      <c r="C1075" s="12">
        <v>532.0</v>
      </c>
      <c r="D1075" s="12">
        <v>4.15</v>
      </c>
      <c r="E1075" s="12">
        <v>0.64</v>
      </c>
      <c r="F1075" s="12">
        <v>50.0</v>
      </c>
      <c r="G1075" s="13">
        <v>44462.70418541667</v>
      </c>
      <c r="H1075" s="14">
        <f>IFERROR(__xludf.DUMMYFUNCTION("SPLIT(G1075, "", "")"),44462.0)</f>
        <v>44462</v>
      </c>
      <c r="I1075" s="15">
        <f>IFERROR(__xludf.DUMMYFUNCTION("""COMPUTED_VALUE"""),0.7041898148148148)</f>
        <v>0.7041898148</v>
      </c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</row>
    <row r="1076">
      <c r="A1076" s="12">
        <v>3.62</v>
      </c>
      <c r="B1076" s="12">
        <v>228.6</v>
      </c>
      <c r="C1076" s="12">
        <v>532.2</v>
      </c>
      <c r="D1076" s="12">
        <v>4.16</v>
      </c>
      <c r="E1076" s="12">
        <v>0.64</v>
      </c>
      <c r="F1076" s="12">
        <v>50.0</v>
      </c>
      <c r="G1076" s="13">
        <v>44462.70429070602</v>
      </c>
      <c r="H1076" s="14">
        <f>IFERROR(__xludf.DUMMYFUNCTION("SPLIT(G1076, "", "")"),44462.0)</f>
        <v>44462</v>
      </c>
      <c r="I1076" s="15">
        <f>IFERROR(__xludf.DUMMYFUNCTION("""COMPUTED_VALUE"""),0.7042939814814815)</f>
        <v>0.7042939815</v>
      </c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</row>
    <row r="1077">
      <c r="A1077" s="12">
        <v>3.63</v>
      </c>
      <c r="B1077" s="12">
        <v>228.6</v>
      </c>
      <c r="C1077" s="12">
        <v>532.2</v>
      </c>
      <c r="D1077" s="12">
        <v>4.16</v>
      </c>
      <c r="E1077" s="12">
        <v>0.64</v>
      </c>
      <c r="F1077" s="12">
        <v>50.0</v>
      </c>
      <c r="G1077" s="13">
        <v>44462.704394953704</v>
      </c>
      <c r="H1077" s="14">
        <f>IFERROR(__xludf.DUMMYFUNCTION("SPLIT(G1077, "", "")"),44462.0)</f>
        <v>44462</v>
      </c>
      <c r="I1077" s="15">
        <f>IFERROR(__xludf.DUMMYFUNCTION("""COMPUTED_VALUE"""),0.7043981481481482)</f>
        <v>0.7043981481</v>
      </c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</row>
    <row r="1078">
      <c r="A1078" s="12">
        <v>3.62</v>
      </c>
      <c r="B1078" s="12">
        <v>228.6</v>
      </c>
      <c r="C1078" s="12">
        <v>532.3</v>
      </c>
      <c r="D1078" s="12">
        <v>4.16</v>
      </c>
      <c r="E1078" s="12">
        <v>0.64</v>
      </c>
      <c r="F1078" s="12">
        <v>50.0</v>
      </c>
      <c r="G1078" s="13">
        <v>44462.70452975694</v>
      </c>
      <c r="H1078" s="14">
        <f>IFERROR(__xludf.DUMMYFUNCTION("SPLIT(G1078, "", "")"),44462.0)</f>
        <v>44462</v>
      </c>
      <c r="I1078" s="15">
        <f>IFERROR(__xludf.DUMMYFUNCTION("""COMPUTED_VALUE"""),0.7045254629629629)</f>
        <v>0.704525463</v>
      </c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</row>
    <row r="1079">
      <c r="A1079" s="12">
        <v>3.63</v>
      </c>
      <c r="B1079" s="12">
        <v>228.5</v>
      </c>
      <c r="C1079" s="12">
        <v>532.4</v>
      </c>
      <c r="D1079" s="12">
        <v>4.16</v>
      </c>
      <c r="E1079" s="12">
        <v>0.64</v>
      </c>
      <c r="F1079" s="12">
        <v>50.0</v>
      </c>
      <c r="G1079" s="13">
        <v>44462.704636435185</v>
      </c>
      <c r="H1079" s="14">
        <f>IFERROR(__xludf.DUMMYFUNCTION("SPLIT(G1079, "", "")"),44462.0)</f>
        <v>44462</v>
      </c>
      <c r="I1079" s="15">
        <f>IFERROR(__xludf.DUMMYFUNCTION("""COMPUTED_VALUE"""),0.7046412037037038)</f>
        <v>0.7046412037</v>
      </c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</row>
    <row r="1080">
      <c r="A1080" s="12">
        <v>3.63</v>
      </c>
      <c r="B1080" s="12">
        <v>228.5</v>
      </c>
      <c r="C1080" s="12">
        <v>532.5</v>
      </c>
      <c r="D1080" s="12">
        <v>4.16</v>
      </c>
      <c r="E1080" s="12">
        <v>0.64</v>
      </c>
      <c r="F1080" s="12">
        <v>50.0</v>
      </c>
      <c r="G1080" s="13">
        <v>44462.704741458336</v>
      </c>
      <c r="H1080" s="14">
        <f>IFERROR(__xludf.DUMMYFUNCTION("SPLIT(G1080, "", "")"),44462.0)</f>
        <v>44462</v>
      </c>
      <c r="I1080" s="15">
        <f>IFERROR(__xludf.DUMMYFUNCTION("""COMPUTED_VALUE"""),0.7047453703703703)</f>
        <v>0.7047453704</v>
      </c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</row>
    <row r="1081">
      <c r="A1081" s="12">
        <v>3.63</v>
      </c>
      <c r="B1081" s="12">
        <v>228.4</v>
      </c>
      <c r="C1081" s="12">
        <v>532.6</v>
      </c>
      <c r="D1081" s="12">
        <v>4.16</v>
      </c>
      <c r="E1081" s="12">
        <v>0.64</v>
      </c>
      <c r="F1081" s="12">
        <v>50.0</v>
      </c>
      <c r="G1081" s="13">
        <v>44462.70484695602</v>
      </c>
      <c r="H1081" s="14">
        <f>IFERROR(__xludf.DUMMYFUNCTION("SPLIT(G1081, "", "")"),44462.0)</f>
        <v>44462</v>
      </c>
      <c r="I1081" s="15">
        <f>IFERROR(__xludf.DUMMYFUNCTION("""COMPUTED_VALUE"""),0.704849537037037)</f>
        <v>0.704849537</v>
      </c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</row>
    <row r="1082">
      <c r="A1082" s="12">
        <v>3.62</v>
      </c>
      <c r="B1082" s="12">
        <v>228.6</v>
      </c>
      <c r="C1082" s="12">
        <v>532.7</v>
      </c>
      <c r="D1082" s="12">
        <v>4.16</v>
      </c>
      <c r="E1082" s="12">
        <v>0.64</v>
      </c>
      <c r="F1082" s="12">
        <v>50.0</v>
      </c>
      <c r="G1082" s="13">
        <v>44462.70494917824</v>
      </c>
      <c r="H1082" s="14">
        <f>IFERROR(__xludf.DUMMYFUNCTION("SPLIT(G1082, "", "")"),44462.0)</f>
        <v>44462</v>
      </c>
      <c r="I1082" s="15">
        <f>IFERROR(__xludf.DUMMYFUNCTION("""COMPUTED_VALUE"""),0.7049537037037037)</f>
        <v>0.7049537037</v>
      </c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</row>
    <row r="1083">
      <c r="A1083" s="12">
        <v>3.62</v>
      </c>
      <c r="B1083" s="12">
        <v>228.7</v>
      </c>
      <c r="C1083" s="12">
        <v>532.7</v>
      </c>
      <c r="D1083" s="12">
        <v>4.16</v>
      </c>
      <c r="E1083" s="12">
        <v>0.64</v>
      </c>
      <c r="F1083" s="12">
        <v>50.0</v>
      </c>
      <c r="G1083" s="13">
        <v>44462.70505896991</v>
      </c>
      <c r="H1083" s="14">
        <f>IFERROR(__xludf.DUMMYFUNCTION("SPLIT(G1083, "", "")"),44462.0)</f>
        <v>44462</v>
      </c>
      <c r="I1083" s="15">
        <f>IFERROR(__xludf.DUMMYFUNCTION("""COMPUTED_VALUE"""),0.7050578703703704)</f>
        <v>0.7050578704</v>
      </c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</row>
    <row r="1084">
      <c r="A1084" s="12">
        <v>3.63</v>
      </c>
      <c r="B1084" s="12">
        <v>228.7</v>
      </c>
      <c r="C1084" s="12">
        <v>532.8</v>
      </c>
      <c r="D1084" s="12">
        <v>4.17</v>
      </c>
      <c r="E1084" s="12">
        <v>0.64</v>
      </c>
      <c r="F1084" s="12">
        <v>50.0</v>
      </c>
      <c r="G1084" s="13">
        <v>44462.705164189814</v>
      </c>
      <c r="H1084" s="14">
        <f>IFERROR(__xludf.DUMMYFUNCTION("SPLIT(G1084, "", "")"),44462.0)</f>
        <v>44462</v>
      </c>
      <c r="I1084" s="15">
        <f>IFERROR(__xludf.DUMMYFUNCTION("""COMPUTED_VALUE"""),0.7051620370370371)</f>
        <v>0.705162037</v>
      </c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</row>
    <row r="1085">
      <c r="A1085" s="12">
        <v>3.63</v>
      </c>
      <c r="B1085" s="12">
        <v>228.7</v>
      </c>
      <c r="C1085" s="12">
        <v>533.0</v>
      </c>
      <c r="D1085" s="12">
        <v>4.17</v>
      </c>
      <c r="E1085" s="12">
        <v>0.64</v>
      </c>
      <c r="F1085" s="12">
        <v>50.0</v>
      </c>
      <c r="G1085" s="13">
        <v>44462.70526847222</v>
      </c>
      <c r="H1085" s="14">
        <f>IFERROR(__xludf.DUMMYFUNCTION("SPLIT(G1085, "", "")"),44462.0)</f>
        <v>44462</v>
      </c>
      <c r="I1085" s="15">
        <f>IFERROR(__xludf.DUMMYFUNCTION("""COMPUTED_VALUE"""),0.7052662037037037)</f>
        <v>0.7052662037</v>
      </c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</row>
    <row r="1086">
      <c r="A1086" s="12">
        <v>3.62</v>
      </c>
      <c r="B1086" s="12">
        <v>228.8</v>
      </c>
      <c r="C1086" s="12">
        <v>533.0</v>
      </c>
      <c r="D1086" s="12">
        <v>4.17</v>
      </c>
      <c r="E1086" s="12">
        <v>0.64</v>
      </c>
      <c r="F1086" s="12">
        <v>50.0</v>
      </c>
      <c r="G1086" s="13">
        <v>44462.70537534722</v>
      </c>
      <c r="H1086" s="14">
        <f>IFERROR(__xludf.DUMMYFUNCTION("SPLIT(G1086, "", "")"),44462.0)</f>
        <v>44462</v>
      </c>
      <c r="I1086" s="15">
        <f>IFERROR(__xludf.DUMMYFUNCTION("""COMPUTED_VALUE"""),0.7053703703703704)</f>
        <v>0.7053703704</v>
      </c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</row>
    <row r="1087">
      <c r="A1087" s="12">
        <v>3.62</v>
      </c>
      <c r="B1087" s="12">
        <v>228.9</v>
      </c>
      <c r="C1087" s="12">
        <v>533.1</v>
      </c>
      <c r="D1087" s="12">
        <v>4.17</v>
      </c>
      <c r="E1087" s="12">
        <v>0.64</v>
      </c>
      <c r="F1087" s="12">
        <v>50.0</v>
      </c>
      <c r="G1087" s="13">
        <v>44462.705482453704</v>
      </c>
      <c r="H1087" s="14">
        <f>IFERROR(__xludf.DUMMYFUNCTION("SPLIT(G1087, "", "")"),44462.0)</f>
        <v>44462</v>
      </c>
      <c r="I1087" s="15">
        <f>IFERROR(__xludf.DUMMYFUNCTION("""COMPUTED_VALUE"""),0.7054861111111111)</f>
        <v>0.7054861111</v>
      </c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</row>
    <row r="1088">
      <c r="A1088" s="12">
        <v>3.63</v>
      </c>
      <c r="B1088" s="12">
        <v>228.7</v>
      </c>
      <c r="C1088" s="12">
        <v>533.1</v>
      </c>
      <c r="D1088" s="12">
        <v>4.17</v>
      </c>
      <c r="E1088" s="12">
        <v>0.64</v>
      </c>
      <c r="F1088" s="12">
        <v>50.0</v>
      </c>
      <c r="G1088" s="13">
        <v>44462.70558715278</v>
      </c>
      <c r="H1088" s="14">
        <f>IFERROR(__xludf.DUMMYFUNCTION("SPLIT(G1088, "", "")"),44462.0)</f>
        <v>44462</v>
      </c>
      <c r="I1088" s="15">
        <f>IFERROR(__xludf.DUMMYFUNCTION("""COMPUTED_VALUE"""),0.7055902777777778)</f>
        <v>0.7055902778</v>
      </c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</row>
    <row r="1089">
      <c r="A1089" s="12">
        <v>3.63</v>
      </c>
      <c r="B1089" s="12">
        <v>228.7</v>
      </c>
      <c r="C1089" s="12">
        <v>533.2</v>
      </c>
      <c r="D1089" s="12">
        <v>4.17</v>
      </c>
      <c r="E1089" s="12">
        <v>0.64</v>
      </c>
      <c r="F1089" s="12">
        <v>49.9</v>
      </c>
      <c r="G1089" s="13">
        <v>44462.70569318287</v>
      </c>
      <c r="H1089" s="14">
        <f>IFERROR(__xludf.DUMMYFUNCTION("SPLIT(G1089, "", "")"),44462.0)</f>
        <v>44462</v>
      </c>
      <c r="I1089" s="15">
        <f>IFERROR(__xludf.DUMMYFUNCTION("""COMPUTED_VALUE"""),0.7056944444444444)</f>
        <v>0.7056944444</v>
      </c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</row>
    <row r="1090">
      <c r="A1090" s="12">
        <v>3.62</v>
      </c>
      <c r="B1090" s="12">
        <v>228.8</v>
      </c>
      <c r="C1090" s="12">
        <v>533.2</v>
      </c>
      <c r="D1090" s="12">
        <v>4.18</v>
      </c>
      <c r="E1090" s="12">
        <v>0.64</v>
      </c>
      <c r="F1090" s="12">
        <v>50.0</v>
      </c>
      <c r="G1090" s="13">
        <v>44462.705796504626</v>
      </c>
      <c r="H1090" s="14">
        <f>IFERROR(__xludf.DUMMYFUNCTION("SPLIT(G1090, "", "")"),44462.0)</f>
        <v>44462</v>
      </c>
      <c r="I1090" s="15">
        <f>IFERROR(__xludf.DUMMYFUNCTION("""COMPUTED_VALUE"""),0.7057986111111111)</f>
        <v>0.7057986111</v>
      </c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</row>
    <row r="1091">
      <c r="A1091" s="12">
        <v>3.63</v>
      </c>
      <c r="B1091" s="12">
        <v>228.7</v>
      </c>
      <c r="C1091" s="12">
        <v>533.2</v>
      </c>
      <c r="D1091" s="12">
        <v>4.18</v>
      </c>
      <c r="E1091" s="12">
        <v>0.64</v>
      </c>
      <c r="F1091" s="12">
        <v>50.0</v>
      </c>
      <c r="G1091" s="13">
        <v>44462.705901574074</v>
      </c>
      <c r="H1091" s="14">
        <f>IFERROR(__xludf.DUMMYFUNCTION("SPLIT(G1091, "", "")"),44462.0)</f>
        <v>44462</v>
      </c>
      <c r="I1091" s="15">
        <f>IFERROR(__xludf.DUMMYFUNCTION("""COMPUTED_VALUE"""),0.7059027777777778)</f>
        <v>0.7059027778</v>
      </c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</row>
    <row r="1092">
      <c r="A1092" s="12">
        <v>3.63</v>
      </c>
      <c r="B1092" s="12">
        <v>228.8</v>
      </c>
      <c r="C1092" s="12">
        <v>533.5</v>
      </c>
      <c r="D1092" s="12">
        <v>4.18</v>
      </c>
      <c r="E1092" s="12">
        <v>0.64</v>
      </c>
      <c r="F1092" s="12">
        <v>50.0</v>
      </c>
      <c r="G1092" s="13">
        <v>44462.70600638889</v>
      </c>
      <c r="H1092" s="14">
        <f>IFERROR(__xludf.DUMMYFUNCTION("SPLIT(G1092, "", "")"),44462.0)</f>
        <v>44462</v>
      </c>
      <c r="I1092" s="15">
        <f>IFERROR(__xludf.DUMMYFUNCTION("""COMPUTED_VALUE"""),0.7060069444444445)</f>
        <v>0.7060069444</v>
      </c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</row>
    <row r="1093">
      <c r="A1093" s="12">
        <v>3.63</v>
      </c>
      <c r="B1093" s="12">
        <v>228.7</v>
      </c>
      <c r="C1093" s="12">
        <v>533.5</v>
      </c>
      <c r="D1093" s="12">
        <v>4.18</v>
      </c>
      <c r="E1093" s="12">
        <v>0.64</v>
      </c>
      <c r="F1093" s="12">
        <v>50.0</v>
      </c>
      <c r="G1093" s="13">
        <v>44462.70611987269</v>
      </c>
      <c r="H1093" s="14">
        <f>IFERROR(__xludf.DUMMYFUNCTION("SPLIT(G1093, "", "")"),44462.0)</f>
        <v>44462</v>
      </c>
      <c r="I1093" s="15">
        <f>IFERROR(__xludf.DUMMYFUNCTION("""COMPUTED_VALUE"""),0.7061226851851852)</f>
        <v>0.7061226852</v>
      </c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</row>
    <row r="1094">
      <c r="A1094" s="12">
        <v>3.63</v>
      </c>
      <c r="B1094" s="12">
        <v>228.8</v>
      </c>
      <c r="C1094" s="12">
        <v>533.5</v>
      </c>
      <c r="D1094" s="12">
        <v>4.18</v>
      </c>
      <c r="E1094" s="12">
        <v>0.64</v>
      </c>
      <c r="F1094" s="12">
        <v>50.0</v>
      </c>
      <c r="G1094" s="13">
        <v>44462.706226759256</v>
      </c>
      <c r="H1094" s="14">
        <f>IFERROR(__xludf.DUMMYFUNCTION("SPLIT(G1094, "", "")"),44462.0)</f>
        <v>44462</v>
      </c>
      <c r="I1094" s="15">
        <f>IFERROR(__xludf.DUMMYFUNCTION("""COMPUTED_VALUE"""),0.7062268518518519)</f>
        <v>0.7062268519</v>
      </c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</row>
    <row r="1095">
      <c r="A1095" s="12">
        <v>3.63</v>
      </c>
      <c r="B1095" s="12">
        <v>228.8</v>
      </c>
      <c r="C1095" s="12">
        <v>533.7</v>
      </c>
      <c r="D1095" s="12">
        <v>4.18</v>
      </c>
      <c r="E1095" s="12">
        <v>0.64</v>
      </c>
      <c r="F1095" s="12">
        <v>50.0</v>
      </c>
      <c r="G1095" s="13">
        <v>44462.706334884264</v>
      </c>
      <c r="H1095" s="14">
        <f>IFERROR(__xludf.DUMMYFUNCTION("SPLIT(G1095, "", "")"),44462.0)</f>
        <v>44462</v>
      </c>
      <c r="I1095" s="15">
        <f>IFERROR(__xludf.DUMMYFUNCTION("""COMPUTED_VALUE"""),0.7063310185185185)</f>
        <v>0.7063310185</v>
      </c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</row>
    <row r="1096">
      <c r="A1096" s="12">
        <v>3.63</v>
      </c>
      <c r="B1096" s="12">
        <v>228.8</v>
      </c>
      <c r="C1096" s="12">
        <v>533.7</v>
      </c>
      <c r="D1096" s="12">
        <v>4.18</v>
      </c>
      <c r="E1096" s="12">
        <v>0.64</v>
      </c>
      <c r="F1096" s="12">
        <v>50.0</v>
      </c>
      <c r="G1096" s="13">
        <v>44462.706437037035</v>
      </c>
      <c r="H1096" s="14">
        <f>IFERROR(__xludf.DUMMYFUNCTION("SPLIT(G1096, "", "")"),44462.0)</f>
        <v>44462</v>
      </c>
      <c r="I1096" s="15">
        <f>IFERROR(__xludf.DUMMYFUNCTION("""COMPUTED_VALUE"""),0.7064351851851852)</f>
        <v>0.7064351852</v>
      </c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</row>
    <row r="1097">
      <c r="A1097" s="12">
        <v>3.63</v>
      </c>
      <c r="B1097" s="12">
        <v>228.8</v>
      </c>
      <c r="C1097" s="12">
        <v>533.8</v>
      </c>
      <c r="D1097" s="12">
        <v>4.18</v>
      </c>
      <c r="E1097" s="12">
        <v>0.64</v>
      </c>
      <c r="F1097" s="12">
        <v>50.0</v>
      </c>
      <c r="G1097" s="13">
        <v>44462.70654375</v>
      </c>
      <c r="H1097" s="14">
        <f>IFERROR(__xludf.DUMMYFUNCTION("SPLIT(G1097, "", "")"),44462.0)</f>
        <v>44462</v>
      </c>
      <c r="I1097" s="15">
        <f>IFERROR(__xludf.DUMMYFUNCTION("""COMPUTED_VALUE"""),0.7065393518518519)</f>
        <v>0.7065393519</v>
      </c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</row>
    <row r="1098">
      <c r="A1098" s="12">
        <v>3.64</v>
      </c>
      <c r="B1098" s="12">
        <v>229.0</v>
      </c>
      <c r="C1098" s="12">
        <v>533.9</v>
      </c>
      <c r="D1098" s="12">
        <v>4.19</v>
      </c>
      <c r="E1098" s="12">
        <v>0.64</v>
      </c>
      <c r="F1098" s="12">
        <v>50.0</v>
      </c>
      <c r="G1098" s="13">
        <v>44462.706652152774</v>
      </c>
      <c r="H1098" s="14">
        <f>IFERROR(__xludf.DUMMYFUNCTION("SPLIT(G1098, "", "")"),44462.0)</f>
        <v>44462</v>
      </c>
      <c r="I1098" s="15">
        <f>IFERROR(__xludf.DUMMYFUNCTION("""COMPUTED_VALUE"""),0.7066550925925926)</f>
        <v>0.7066550926</v>
      </c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</row>
    <row r="1099">
      <c r="A1099" s="12">
        <v>3.64</v>
      </c>
      <c r="B1099" s="12">
        <v>228.8</v>
      </c>
      <c r="C1099" s="12">
        <v>534.0</v>
      </c>
      <c r="D1099" s="12">
        <v>4.19</v>
      </c>
      <c r="E1099" s="12">
        <v>0.64</v>
      </c>
      <c r="F1099" s="12">
        <v>50.0</v>
      </c>
      <c r="G1099" s="13">
        <v>44462.70675666667</v>
      </c>
      <c r="H1099" s="14">
        <f>IFERROR(__xludf.DUMMYFUNCTION("SPLIT(G1099, "", "")"),44462.0)</f>
        <v>44462</v>
      </c>
      <c r="I1099" s="15">
        <f>IFERROR(__xludf.DUMMYFUNCTION("""COMPUTED_VALUE"""),0.7067592592592593)</f>
        <v>0.7067592593</v>
      </c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</row>
    <row r="1100">
      <c r="A1100" s="12">
        <v>3.62</v>
      </c>
      <c r="B1100" s="12">
        <v>228.9</v>
      </c>
      <c r="C1100" s="12">
        <v>533.9</v>
      </c>
      <c r="D1100" s="12">
        <v>4.19</v>
      </c>
      <c r="E1100" s="12">
        <v>0.64</v>
      </c>
      <c r="F1100" s="12">
        <v>50.0</v>
      </c>
      <c r="G1100" s="13">
        <v>44462.70685828704</v>
      </c>
      <c r="H1100" s="14">
        <f>IFERROR(__xludf.DUMMYFUNCTION("SPLIT(G1100, "", "")"),44462.0)</f>
        <v>44462</v>
      </c>
      <c r="I1100" s="15">
        <f>IFERROR(__xludf.DUMMYFUNCTION("""COMPUTED_VALUE"""),0.7068634259259259)</f>
        <v>0.7068634259</v>
      </c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</row>
    <row r="1101">
      <c r="A1101" s="12">
        <v>3.62</v>
      </c>
      <c r="B1101" s="12">
        <v>228.9</v>
      </c>
      <c r="C1101" s="12">
        <v>534.0</v>
      </c>
      <c r="D1101" s="12">
        <v>4.19</v>
      </c>
      <c r="E1101" s="12">
        <v>0.64</v>
      </c>
      <c r="F1101" s="12">
        <v>50.0</v>
      </c>
      <c r="G1101" s="13">
        <v>44462.70695422454</v>
      </c>
      <c r="H1101" s="14">
        <f>IFERROR(__xludf.DUMMYFUNCTION("SPLIT(G1101, "", "")"),44462.0)</f>
        <v>44462</v>
      </c>
      <c r="I1101" s="15">
        <f>IFERROR(__xludf.DUMMYFUNCTION("""COMPUTED_VALUE"""),0.7069560185185185)</f>
        <v>0.7069560185</v>
      </c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</row>
    <row r="1102">
      <c r="A1102" s="12">
        <v>3.63</v>
      </c>
      <c r="B1102" s="12">
        <v>229.1</v>
      </c>
      <c r="C1102" s="12">
        <v>534.2</v>
      </c>
      <c r="D1102" s="12">
        <v>4.19</v>
      </c>
      <c r="E1102" s="12">
        <v>0.64</v>
      </c>
      <c r="F1102" s="12">
        <v>50.0</v>
      </c>
      <c r="G1102" s="13">
        <v>44462.70705486111</v>
      </c>
      <c r="H1102" s="14">
        <f>IFERROR(__xludf.DUMMYFUNCTION("SPLIT(G1102, "", "")"),44462.0)</f>
        <v>44462</v>
      </c>
      <c r="I1102" s="15">
        <f>IFERROR(__xludf.DUMMYFUNCTION("""COMPUTED_VALUE"""),0.7070601851851852)</f>
        <v>0.7070601852</v>
      </c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</row>
    <row r="1103">
      <c r="A1103" s="12">
        <v>3.63</v>
      </c>
      <c r="B1103" s="12">
        <v>229.2</v>
      </c>
      <c r="C1103" s="12">
        <v>534.3</v>
      </c>
      <c r="D1103" s="12">
        <v>4.19</v>
      </c>
      <c r="E1103" s="12">
        <v>0.64</v>
      </c>
      <c r="F1103" s="12">
        <v>50.0</v>
      </c>
      <c r="G1103" s="13">
        <v>44462.70715805556</v>
      </c>
      <c r="H1103" s="14">
        <f>IFERROR(__xludf.DUMMYFUNCTION("SPLIT(G1103, "", "")"),44462.0)</f>
        <v>44462</v>
      </c>
      <c r="I1103" s="15">
        <f>IFERROR(__xludf.DUMMYFUNCTION("""COMPUTED_VALUE"""),0.7071527777777777)</f>
        <v>0.7071527778</v>
      </c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</row>
    <row r="1104">
      <c r="A1104" s="12">
        <v>3.62</v>
      </c>
      <c r="B1104" s="12">
        <v>229.4</v>
      </c>
      <c r="C1104" s="12">
        <v>534.4</v>
      </c>
      <c r="D1104" s="12">
        <v>4.19</v>
      </c>
      <c r="E1104" s="12">
        <v>0.64</v>
      </c>
      <c r="F1104" s="12">
        <v>50.0</v>
      </c>
      <c r="G1104" s="13">
        <v>44462.707266909725</v>
      </c>
      <c r="H1104" s="14">
        <f>IFERROR(__xludf.DUMMYFUNCTION("SPLIT(G1104, "", "")"),44462.0)</f>
        <v>44462</v>
      </c>
      <c r="I1104" s="15">
        <f>IFERROR(__xludf.DUMMYFUNCTION("""COMPUTED_VALUE"""),0.7072685185185185)</f>
        <v>0.7072685185</v>
      </c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</row>
    <row r="1105">
      <c r="A1105" s="12">
        <v>3.63</v>
      </c>
      <c r="B1105" s="12">
        <v>229.3</v>
      </c>
      <c r="C1105" s="12">
        <v>534.4</v>
      </c>
      <c r="D1105" s="12">
        <v>4.2</v>
      </c>
      <c r="E1105" s="12">
        <v>0.64</v>
      </c>
      <c r="F1105" s="12">
        <v>50.0</v>
      </c>
      <c r="G1105" s="13">
        <v>44462.70737087963</v>
      </c>
      <c r="H1105" s="14">
        <f>IFERROR(__xludf.DUMMYFUNCTION("SPLIT(G1105, "", "")"),44462.0)</f>
        <v>44462</v>
      </c>
      <c r="I1105" s="15">
        <f>IFERROR(__xludf.DUMMYFUNCTION("""COMPUTED_VALUE"""),0.7073726851851851)</f>
        <v>0.7073726852</v>
      </c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</row>
    <row r="1106">
      <c r="A1106" s="12">
        <v>3.63</v>
      </c>
      <c r="B1106" s="12">
        <v>229.3</v>
      </c>
      <c r="C1106" s="12">
        <v>534.5</v>
      </c>
      <c r="D1106" s="12">
        <v>4.2</v>
      </c>
      <c r="E1106" s="12">
        <v>0.64</v>
      </c>
      <c r="F1106" s="12">
        <v>50.0</v>
      </c>
      <c r="G1106" s="13">
        <v>44462.707471863425</v>
      </c>
      <c r="H1106" s="14">
        <f>IFERROR(__xludf.DUMMYFUNCTION("SPLIT(G1106, "", "")"),44462.0)</f>
        <v>44462</v>
      </c>
      <c r="I1106" s="15">
        <f>IFERROR(__xludf.DUMMYFUNCTION("""COMPUTED_VALUE"""),0.7074768518518518)</f>
        <v>0.7074768519</v>
      </c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</row>
    <row r="1107">
      <c r="A1107" s="12">
        <v>3.62</v>
      </c>
      <c r="B1107" s="12">
        <v>229.3</v>
      </c>
      <c r="C1107" s="12">
        <v>534.4</v>
      </c>
      <c r="D1107" s="12">
        <v>4.2</v>
      </c>
      <c r="E1107" s="12">
        <v>0.64</v>
      </c>
      <c r="F1107" s="12">
        <v>50.0</v>
      </c>
      <c r="G1107" s="13">
        <v>44462.707573101856</v>
      </c>
      <c r="H1107" s="14">
        <f>IFERROR(__xludf.DUMMYFUNCTION("SPLIT(G1107, "", "")"),44462.0)</f>
        <v>44462</v>
      </c>
      <c r="I1107" s="15">
        <f>IFERROR(__xludf.DUMMYFUNCTION("""COMPUTED_VALUE"""),0.7075694444444445)</f>
        <v>0.7075694444</v>
      </c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</row>
    <row r="1108">
      <c r="A1108" s="12">
        <v>3.62</v>
      </c>
      <c r="B1108" s="12">
        <v>229.2</v>
      </c>
      <c r="C1108" s="12">
        <v>534.5</v>
      </c>
      <c r="D1108" s="12">
        <v>4.2</v>
      </c>
      <c r="E1108" s="12">
        <v>0.64</v>
      </c>
      <c r="F1108" s="12">
        <v>50.0</v>
      </c>
      <c r="G1108" s="13">
        <v>44462.70767674768</v>
      </c>
      <c r="H1108" s="14">
        <f>IFERROR(__xludf.DUMMYFUNCTION("SPLIT(G1108, "", "")"),44462.0)</f>
        <v>44462</v>
      </c>
      <c r="I1108" s="15">
        <f>IFERROR(__xludf.DUMMYFUNCTION("""COMPUTED_VALUE"""),0.7076736111111112)</f>
        <v>0.7076736111</v>
      </c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</row>
    <row r="1109">
      <c r="A1109" s="12">
        <v>3.62</v>
      </c>
      <c r="B1109" s="12">
        <v>229.1</v>
      </c>
      <c r="C1109" s="12">
        <v>534.5</v>
      </c>
      <c r="D1109" s="12">
        <v>4.2</v>
      </c>
      <c r="E1109" s="12">
        <v>0.64</v>
      </c>
      <c r="F1109" s="12">
        <v>50.0</v>
      </c>
      <c r="G1109" s="13">
        <v>44462.70778974537</v>
      </c>
      <c r="H1109" s="14">
        <f>IFERROR(__xludf.DUMMYFUNCTION("SPLIT(G1109, "", "")"),44462.0)</f>
        <v>44462</v>
      </c>
      <c r="I1109" s="15">
        <f>IFERROR(__xludf.DUMMYFUNCTION("""COMPUTED_VALUE"""),0.7077893518518519)</f>
        <v>0.7077893519</v>
      </c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</row>
    <row r="1110">
      <c r="A1110" s="12">
        <v>3.62</v>
      </c>
      <c r="B1110" s="12">
        <v>229.0</v>
      </c>
      <c r="C1110" s="12">
        <v>534.6</v>
      </c>
      <c r="D1110" s="12">
        <v>4.2</v>
      </c>
      <c r="E1110" s="12">
        <v>0.64</v>
      </c>
      <c r="F1110" s="12">
        <v>50.0</v>
      </c>
      <c r="G1110" s="13">
        <v>44462.70789790509</v>
      </c>
      <c r="H1110" s="14">
        <f>IFERROR(__xludf.DUMMYFUNCTION("SPLIT(G1110, "", "")"),44462.0)</f>
        <v>44462</v>
      </c>
      <c r="I1110" s="15">
        <f>IFERROR(__xludf.DUMMYFUNCTION("""COMPUTED_VALUE"""),0.7078935185185186)</f>
        <v>0.7078935185</v>
      </c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</row>
    <row r="1111">
      <c r="A1111" s="12">
        <v>3.62</v>
      </c>
      <c r="B1111" s="12">
        <v>229.1</v>
      </c>
      <c r="C1111" s="12">
        <v>534.7</v>
      </c>
      <c r="D1111" s="12">
        <v>4.2</v>
      </c>
      <c r="E1111" s="12">
        <v>0.64</v>
      </c>
      <c r="F1111" s="12">
        <v>50.0</v>
      </c>
      <c r="G1111" s="13">
        <v>44462.708000659724</v>
      </c>
      <c r="H1111" s="14">
        <f>IFERROR(__xludf.DUMMYFUNCTION("SPLIT(G1111, "", "")"),44462.0)</f>
        <v>44462</v>
      </c>
      <c r="I1111" s="15">
        <f>IFERROR(__xludf.DUMMYFUNCTION("""COMPUTED_VALUE"""),0.7079976851851851)</f>
        <v>0.7079976852</v>
      </c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</row>
    <row r="1112">
      <c r="A1112" s="12">
        <v>3.63</v>
      </c>
      <c r="B1112" s="12">
        <v>229.1</v>
      </c>
      <c r="C1112" s="12">
        <v>534.8</v>
      </c>
      <c r="D1112" s="12">
        <v>4.2</v>
      </c>
      <c r="E1112" s="12">
        <v>0.64</v>
      </c>
      <c r="F1112" s="12">
        <v>50.0</v>
      </c>
      <c r="G1112" s="13">
        <v>44462.70810314815</v>
      </c>
      <c r="H1112" s="14">
        <f>IFERROR(__xludf.DUMMYFUNCTION("SPLIT(G1112, "", "")"),44462.0)</f>
        <v>44462</v>
      </c>
      <c r="I1112" s="15">
        <f>IFERROR(__xludf.DUMMYFUNCTION("""COMPUTED_VALUE"""),0.7081018518518518)</f>
        <v>0.7081018519</v>
      </c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</row>
    <row r="1113">
      <c r="A1113" s="12">
        <v>3.64</v>
      </c>
      <c r="B1113" s="12">
        <v>229.0</v>
      </c>
      <c r="C1113" s="12">
        <v>534.9</v>
      </c>
      <c r="D1113" s="12">
        <v>4.21</v>
      </c>
      <c r="E1113" s="12">
        <v>0.64</v>
      </c>
      <c r="F1113" s="12">
        <v>50.0</v>
      </c>
      <c r="G1113" s="13">
        <v>44462.70820627315</v>
      </c>
      <c r="H1113" s="14">
        <f>IFERROR(__xludf.DUMMYFUNCTION("SPLIT(G1113, "", "")"),44462.0)</f>
        <v>44462</v>
      </c>
      <c r="I1113" s="15">
        <f>IFERROR(__xludf.DUMMYFUNCTION("""COMPUTED_VALUE"""),0.7082060185185185)</f>
        <v>0.7082060185</v>
      </c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</row>
    <row r="1114">
      <c r="A1114" s="12">
        <v>3.64</v>
      </c>
      <c r="B1114" s="12">
        <v>228.8</v>
      </c>
      <c r="C1114" s="12">
        <v>534.9</v>
      </c>
      <c r="D1114" s="12">
        <v>4.21</v>
      </c>
      <c r="E1114" s="12">
        <v>0.64</v>
      </c>
      <c r="F1114" s="12">
        <v>50.0</v>
      </c>
      <c r="G1114" s="13">
        <v>44462.70830684028</v>
      </c>
      <c r="H1114" s="14">
        <f>IFERROR(__xludf.DUMMYFUNCTION("SPLIT(G1114, "", "")"),44462.0)</f>
        <v>44462</v>
      </c>
      <c r="I1114" s="15">
        <f>IFERROR(__xludf.DUMMYFUNCTION("""COMPUTED_VALUE"""),0.7083101851851852)</f>
        <v>0.7083101852</v>
      </c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</row>
    <row r="1115">
      <c r="A1115" s="12">
        <v>3.64</v>
      </c>
      <c r="B1115" s="12">
        <v>228.7</v>
      </c>
      <c r="C1115" s="12">
        <v>535.0</v>
      </c>
      <c r="D1115" s="12">
        <v>4.21</v>
      </c>
      <c r="E1115" s="12">
        <v>0.64</v>
      </c>
      <c r="F1115" s="12">
        <v>50.0</v>
      </c>
      <c r="G1115" s="13">
        <v>44462.708413229164</v>
      </c>
      <c r="H1115" s="14">
        <f>IFERROR(__xludf.DUMMYFUNCTION("SPLIT(G1115, "", "")"),44462.0)</f>
        <v>44462</v>
      </c>
      <c r="I1115" s="15">
        <f>IFERROR(__xludf.DUMMYFUNCTION("""COMPUTED_VALUE"""),0.7084143518518519)</f>
        <v>0.7084143519</v>
      </c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</row>
    <row r="1116">
      <c r="A1116" s="12">
        <v>3.64</v>
      </c>
      <c r="B1116" s="12">
        <v>228.9</v>
      </c>
      <c r="C1116" s="12">
        <v>535.1</v>
      </c>
      <c r="D1116" s="12">
        <v>4.21</v>
      </c>
      <c r="E1116" s="12">
        <v>0.64</v>
      </c>
      <c r="F1116" s="12">
        <v>50.0</v>
      </c>
      <c r="G1116" s="13">
        <v>44462.708536875</v>
      </c>
      <c r="H1116" s="14">
        <f>IFERROR(__xludf.DUMMYFUNCTION("SPLIT(G1116, "", "")"),44462.0)</f>
        <v>44462</v>
      </c>
      <c r="I1116" s="15">
        <f>IFERROR(__xludf.DUMMYFUNCTION("""COMPUTED_VALUE"""),0.7085416666666666)</f>
        <v>0.7085416667</v>
      </c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</row>
    <row r="1117">
      <c r="A1117" s="12">
        <v>3.65</v>
      </c>
      <c r="B1117" s="12">
        <v>228.9</v>
      </c>
      <c r="C1117" s="12">
        <v>535.2</v>
      </c>
      <c r="D1117" s="12">
        <v>4.21</v>
      </c>
      <c r="E1117" s="12">
        <v>0.64</v>
      </c>
      <c r="F1117" s="12">
        <v>50.0</v>
      </c>
      <c r="G1117" s="13">
        <v>44462.70864383102</v>
      </c>
      <c r="H1117" s="14">
        <f>IFERROR(__xludf.DUMMYFUNCTION("SPLIT(G1117, "", "")"),44462.0)</f>
        <v>44462</v>
      </c>
      <c r="I1117" s="15">
        <f>IFERROR(__xludf.DUMMYFUNCTION("""COMPUTED_VALUE"""),0.7086458333333333)</f>
        <v>0.7086458333</v>
      </c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</row>
    <row r="1118">
      <c r="A1118" s="12">
        <v>3.65</v>
      </c>
      <c r="B1118" s="12">
        <v>228.9</v>
      </c>
      <c r="C1118" s="12">
        <v>535.3</v>
      </c>
      <c r="D1118" s="12">
        <v>4.21</v>
      </c>
      <c r="E1118" s="12">
        <v>0.64</v>
      </c>
      <c r="F1118" s="12">
        <v>50.0</v>
      </c>
      <c r="G1118" s="13">
        <v>44462.70874328703</v>
      </c>
      <c r="H1118" s="14">
        <f>IFERROR(__xludf.DUMMYFUNCTION("SPLIT(G1118, "", "")"),44462.0)</f>
        <v>44462</v>
      </c>
      <c r="I1118" s="15">
        <f>IFERROR(__xludf.DUMMYFUNCTION("""COMPUTED_VALUE"""),0.708738425925926)</f>
        <v>0.7087384259</v>
      </c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</row>
    <row r="1119">
      <c r="A1119" s="12">
        <v>3.65</v>
      </c>
      <c r="B1119" s="12">
        <v>229.0</v>
      </c>
      <c r="C1119" s="12">
        <v>535.5</v>
      </c>
      <c r="D1119" s="12">
        <v>4.21</v>
      </c>
      <c r="E1119" s="12">
        <v>0.64</v>
      </c>
      <c r="F1119" s="12">
        <v>50.0</v>
      </c>
      <c r="G1119" s="13">
        <v>44462.708844189816</v>
      </c>
      <c r="H1119" s="14">
        <f>IFERROR(__xludf.DUMMYFUNCTION("SPLIT(G1119, "", "")"),44462.0)</f>
        <v>44462</v>
      </c>
      <c r="I1119" s="15">
        <f>IFERROR(__xludf.DUMMYFUNCTION("""COMPUTED_VALUE"""),0.7088425925925926)</f>
        <v>0.7088425926</v>
      </c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</row>
    <row r="1120">
      <c r="A1120" s="12">
        <v>3.65</v>
      </c>
      <c r="B1120" s="12">
        <v>228.9</v>
      </c>
      <c r="C1120" s="12">
        <v>535.4</v>
      </c>
      <c r="D1120" s="12">
        <v>4.22</v>
      </c>
      <c r="E1120" s="12">
        <v>0.64</v>
      </c>
      <c r="F1120" s="12">
        <v>50.0</v>
      </c>
      <c r="G1120" s="13">
        <v>44462.708944618054</v>
      </c>
      <c r="H1120" s="14">
        <f>IFERROR(__xludf.DUMMYFUNCTION("SPLIT(G1120, "", "")"),44462.0)</f>
        <v>44462</v>
      </c>
      <c r="I1120" s="15">
        <f>IFERROR(__xludf.DUMMYFUNCTION("""COMPUTED_VALUE"""),0.7089467592592592)</f>
        <v>0.7089467593</v>
      </c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</row>
    <row r="1121">
      <c r="A1121" s="12">
        <v>3.66</v>
      </c>
      <c r="B1121" s="12">
        <v>229.0</v>
      </c>
      <c r="C1121" s="12">
        <v>535.6</v>
      </c>
      <c r="D1121" s="12">
        <v>4.22</v>
      </c>
      <c r="E1121" s="12">
        <v>0.64</v>
      </c>
      <c r="F1121" s="12">
        <v>50.0</v>
      </c>
      <c r="G1121" s="13">
        <v>44462.7090477662</v>
      </c>
      <c r="H1121" s="14">
        <f>IFERROR(__xludf.DUMMYFUNCTION("SPLIT(G1121, "", "")"),44462.0)</f>
        <v>44462</v>
      </c>
      <c r="I1121" s="15">
        <f>IFERROR(__xludf.DUMMYFUNCTION("""COMPUTED_VALUE"""),0.7090509259259259)</f>
        <v>0.7090509259</v>
      </c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</row>
    <row r="1122">
      <c r="A1122" s="12">
        <v>3.66</v>
      </c>
      <c r="B1122" s="12">
        <v>229.0</v>
      </c>
      <c r="C1122" s="12">
        <v>535.6</v>
      </c>
      <c r="D1122" s="12">
        <v>4.22</v>
      </c>
      <c r="E1122" s="12">
        <v>0.64</v>
      </c>
      <c r="F1122" s="12">
        <v>50.0</v>
      </c>
      <c r="G1122" s="13">
        <v>44462.70914853009</v>
      </c>
      <c r="H1122" s="14">
        <f>IFERROR(__xludf.DUMMYFUNCTION("SPLIT(G1122, "", "")"),44462.0)</f>
        <v>44462</v>
      </c>
      <c r="I1122" s="15">
        <f>IFERROR(__xludf.DUMMYFUNCTION("""COMPUTED_VALUE"""),0.7091435185185185)</f>
        <v>0.7091435185</v>
      </c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</row>
    <row r="1123">
      <c r="A1123" s="12">
        <v>3.64</v>
      </c>
      <c r="B1123" s="12">
        <v>229.1</v>
      </c>
      <c r="C1123" s="12">
        <v>535.5</v>
      </c>
      <c r="D1123" s="12">
        <v>4.22</v>
      </c>
      <c r="E1123" s="12">
        <v>0.64</v>
      </c>
      <c r="F1123" s="12">
        <v>50.0</v>
      </c>
      <c r="G1123" s="13">
        <v>44462.709253912035</v>
      </c>
      <c r="H1123" s="14">
        <f>IFERROR(__xludf.DUMMYFUNCTION("SPLIT(G1123, "", "")"),44462.0)</f>
        <v>44462</v>
      </c>
      <c r="I1123" s="15">
        <f>IFERROR(__xludf.DUMMYFUNCTION("""COMPUTED_VALUE"""),0.7092592592592593)</f>
        <v>0.7092592593</v>
      </c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</row>
    <row r="1124">
      <c r="A1124" s="12">
        <v>3.64</v>
      </c>
      <c r="B1124" s="12">
        <v>229.1</v>
      </c>
      <c r="C1124" s="12">
        <v>535.6</v>
      </c>
      <c r="D1124" s="12">
        <v>4.22</v>
      </c>
      <c r="E1124" s="12">
        <v>0.64</v>
      </c>
      <c r="F1124" s="12">
        <v>50.0</v>
      </c>
      <c r="G1124" s="13">
        <v>44462.70936064815</v>
      </c>
      <c r="H1124" s="14">
        <f>IFERROR(__xludf.DUMMYFUNCTION("SPLIT(G1124, "", "")"),44462.0)</f>
        <v>44462</v>
      </c>
      <c r="I1124" s="15">
        <f>IFERROR(__xludf.DUMMYFUNCTION("""COMPUTED_VALUE"""),0.7093634259259259)</f>
        <v>0.7093634259</v>
      </c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</row>
    <row r="1125">
      <c r="A1125" s="12">
        <v>3.64</v>
      </c>
      <c r="B1125" s="12">
        <v>229.2</v>
      </c>
      <c r="C1125" s="12">
        <v>535.7</v>
      </c>
      <c r="D1125" s="12">
        <v>4.22</v>
      </c>
      <c r="E1125" s="12">
        <v>0.64</v>
      </c>
      <c r="F1125" s="12">
        <v>50.0</v>
      </c>
      <c r="G1125" s="13">
        <v>44462.70946974537</v>
      </c>
      <c r="H1125" s="14">
        <f>IFERROR(__xludf.DUMMYFUNCTION("SPLIT(G1125, "", "")"),44462.0)</f>
        <v>44462</v>
      </c>
      <c r="I1125" s="15">
        <f>IFERROR(__xludf.DUMMYFUNCTION("""COMPUTED_VALUE"""),0.7094675925925926)</f>
        <v>0.7094675926</v>
      </c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</row>
    <row r="1126">
      <c r="A1126" s="12">
        <v>3.64</v>
      </c>
      <c r="B1126" s="12">
        <v>229.0</v>
      </c>
      <c r="C1126" s="12">
        <v>535.7</v>
      </c>
      <c r="D1126" s="12">
        <v>4.22</v>
      </c>
      <c r="E1126" s="12">
        <v>0.64</v>
      </c>
      <c r="F1126" s="12">
        <v>50.0</v>
      </c>
      <c r="G1126" s="13">
        <v>44462.70957210648</v>
      </c>
      <c r="H1126" s="14">
        <f>IFERROR(__xludf.DUMMYFUNCTION("SPLIT(G1126, "", "")"),44462.0)</f>
        <v>44462</v>
      </c>
      <c r="I1126" s="15">
        <f>IFERROR(__xludf.DUMMYFUNCTION("""COMPUTED_VALUE"""),0.7095717592592593)</f>
        <v>0.7095717593</v>
      </c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</row>
    <row r="1127">
      <c r="A1127" s="12">
        <v>3.65</v>
      </c>
      <c r="B1127" s="12">
        <v>228.9</v>
      </c>
      <c r="C1127" s="12">
        <v>535.9</v>
      </c>
      <c r="D1127" s="12">
        <v>4.22</v>
      </c>
      <c r="E1127" s="12">
        <v>0.64</v>
      </c>
      <c r="F1127" s="12">
        <v>49.9</v>
      </c>
      <c r="G1127" s="13">
        <v>44462.70971148148</v>
      </c>
      <c r="H1127" s="14">
        <f>IFERROR(__xludf.DUMMYFUNCTION("SPLIT(G1127, "", "")"),44462.0)</f>
        <v>44462</v>
      </c>
      <c r="I1127" s="15">
        <f>IFERROR(__xludf.DUMMYFUNCTION("""COMPUTED_VALUE"""),0.7097106481481481)</f>
        <v>0.7097106481</v>
      </c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</row>
    <row r="1128">
      <c r="A1128" s="12">
        <v>3.65</v>
      </c>
      <c r="B1128" s="12">
        <v>228.9</v>
      </c>
      <c r="C1128" s="12">
        <v>535.9</v>
      </c>
      <c r="D1128" s="12">
        <v>4.23</v>
      </c>
      <c r="E1128" s="12">
        <v>0.64</v>
      </c>
      <c r="F1128" s="12">
        <v>49.9</v>
      </c>
      <c r="G1128" s="13">
        <v>44462.70981288195</v>
      </c>
      <c r="H1128" s="14">
        <f>IFERROR(__xludf.DUMMYFUNCTION("SPLIT(G1128, "", "")"),44462.0)</f>
        <v>44462</v>
      </c>
      <c r="I1128" s="15">
        <f>IFERROR(__xludf.DUMMYFUNCTION("""COMPUTED_VALUE"""),0.7098148148148148)</f>
        <v>0.7098148148</v>
      </c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</row>
    <row r="1129">
      <c r="A1129" s="12">
        <v>3.65</v>
      </c>
      <c r="B1129" s="12">
        <v>228.9</v>
      </c>
      <c r="C1129" s="12">
        <v>536.0</v>
      </c>
      <c r="D1129" s="12">
        <v>4.23</v>
      </c>
      <c r="E1129" s="12">
        <v>0.64</v>
      </c>
      <c r="F1129" s="12">
        <v>49.9</v>
      </c>
      <c r="G1129" s="13">
        <v>44462.70991859953</v>
      </c>
      <c r="H1129" s="14">
        <f>IFERROR(__xludf.DUMMYFUNCTION("SPLIT(G1129, "", "")"),44462.0)</f>
        <v>44462</v>
      </c>
      <c r="I1129" s="15">
        <f>IFERROR(__xludf.DUMMYFUNCTION("""COMPUTED_VALUE"""),0.7099189814814815)</f>
        <v>0.7099189815</v>
      </c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</row>
    <row r="1130">
      <c r="A1130" s="12">
        <v>3.65</v>
      </c>
      <c r="B1130" s="12">
        <v>228.8</v>
      </c>
      <c r="C1130" s="12">
        <v>536.0</v>
      </c>
      <c r="D1130" s="12">
        <v>4.23</v>
      </c>
      <c r="E1130" s="12">
        <v>0.64</v>
      </c>
      <c r="F1130" s="12">
        <v>50.0</v>
      </c>
      <c r="G1130" s="13">
        <v>44462.7100275</v>
      </c>
      <c r="H1130" s="14">
        <f>IFERROR(__xludf.DUMMYFUNCTION("SPLIT(G1130, "", "")"),44462.0)</f>
        <v>44462</v>
      </c>
      <c r="I1130" s="15">
        <f>IFERROR(__xludf.DUMMYFUNCTION("""COMPUTED_VALUE"""),0.7100231481481482)</f>
        <v>0.7100231481</v>
      </c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</row>
    <row r="1131">
      <c r="A1131" s="12">
        <v>3.64</v>
      </c>
      <c r="B1131" s="12">
        <v>228.9</v>
      </c>
      <c r="C1131" s="12">
        <v>536.0</v>
      </c>
      <c r="D1131" s="12">
        <v>4.23</v>
      </c>
      <c r="E1131" s="12">
        <v>0.64</v>
      </c>
      <c r="F1131" s="12">
        <v>50.0</v>
      </c>
      <c r="G1131" s="13">
        <v>44462.71013107639</v>
      </c>
      <c r="H1131" s="14">
        <f>IFERROR(__xludf.DUMMYFUNCTION("SPLIT(G1131, "", "")"),44462.0)</f>
        <v>44462</v>
      </c>
      <c r="I1131" s="15">
        <f>IFERROR(__xludf.DUMMYFUNCTION("""COMPUTED_VALUE"""),0.7101273148148148)</f>
        <v>0.7101273148</v>
      </c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</row>
    <row r="1132">
      <c r="A1132" s="12">
        <v>3.64</v>
      </c>
      <c r="B1132" s="12">
        <v>228.9</v>
      </c>
      <c r="C1132" s="12">
        <v>536.1</v>
      </c>
      <c r="D1132" s="12">
        <v>4.23</v>
      </c>
      <c r="E1132" s="12">
        <v>0.64</v>
      </c>
      <c r="F1132" s="12">
        <v>50.0</v>
      </c>
      <c r="G1132" s="13">
        <v>44462.71023423611</v>
      </c>
      <c r="H1132" s="14">
        <f>IFERROR(__xludf.DUMMYFUNCTION("SPLIT(G1132, "", "")"),44462.0)</f>
        <v>44462</v>
      </c>
      <c r="I1132" s="15">
        <f>IFERROR(__xludf.DUMMYFUNCTION("""COMPUTED_VALUE"""),0.7102314814814815)</f>
        <v>0.7102314815</v>
      </c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</row>
    <row r="1133">
      <c r="A1133" s="12">
        <v>3.64</v>
      </c>
      <c r="B1133" s="12">
        <v>228.8</v>
      </c>
      <c r="C1133" s="12">
        <v>536.1</v>
      </c>
      <c r="D1133" s="12">
        <v>4.23</v>
      </c>
      <c r="E1133" s="12">
        <v>0.64</v>
      </c>
      <c r="F1133" s="12">
        <v>50.0</v>
      </c>
      <c r="G1133" s="13">
        <v>44462.710338749996</v>
      </c>
      <c r="H1133" s="14">
        <f>IFERROR(__xludf.DUMMYFUNCTION("SPLIT(G1133, "", "")"),44462.0)</f>
        <v>44462</v>
      </c>
      <c r="I1133" s="15">
        <f>IFERROR(__xludf.DUMMYFUNCTION("""COMPUTED_VALUE"""),0.7103356481481482)</f>
        <v>0.7103356481</v>
      </c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</row>
    <row r="1134">
      <c r="A1134" s="12">
        <v>3.65</v>
      </c>
      <c r="B1134" s="12">
        <v>228.7</v>
      </c>
      <c r="C1134" s="12">
        <v>536.2</v>
      </c>
      <c r="D1134" s="12">
        <v>4.23</v>
      </c>
      <c r="E1134" s="12">
        <v>0.64</v>
      </c>
      <c r="F1134" s="12">
        <v>50.0</v>
      </c>
      <c r="G1134" s="13">
        <v>44462.710438229165</v>
      </c>
      <c r="H1134" s="14">
        <f>IFERROR(__xludf.DUMMYFUNCTION("SPLIT(G1134, "", "")"),44462.0)</f>
        <v>44462</v>
      </c>
      <c r="I1134" s="15">
        <f>IFERROR(__xludf.DUMMYFUNCTION("""COMPUTED_VALUE"""),0.7104398148148148)</f>
        <v>0.7104398148</v>
      </c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</row>
    <row r="1135">
      <c r="A1135" s="12">
        <v>3.65</v>
      </c>
      <c r="B1135" s="12">
        <v>228.5</v>
      </c>
      <c r="C1135" s="12">
        <v>536.4</v>
      </c>
      <c r="D1135" s="12">
        <v>4.24</v>
      </c>
      <c r="E1135" s="12">
        <v>0.64</v>
      </c>
      <c r="F1135" s="12">
        <v>50.0</v>
      </c>
      <c r="G1135" s="13">
        <v>44462.71054050926</v>
      </c>
      <c r="H1135" s="14">
        <f>IFERROR(__xludf.DUMMYFUNCTION("SPLIT(G1135, "", "")"),44462.0)</f>
        <v>44462</v>
      </c>
      <c r="I1135" s="15">
        <f>IFERROR(__xludf.DUMMYFUNCTION("""COMPUTED_VALUE"""),0.7105439814814815)</f>
        <v>0.7105439815</v>
      </c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</row>
    <row r="1136">
      <c r="A1136" s="12">
        <v>3.65</v>
      </c>
      <c r="B1136" s="12">
        <v>228.6</v>
      </c>
      <c r="C1136" s="12">
        <v>536.4</v>
      </c>
      <c r="D1136" s="12">
        <v>4.24</v>
      </c>
      <c r="E1136" s="12">
        <v>0.64</v>
      </c>
      <c r="F1136" s="12">
        <v>50.0</v>
      </c>
      <c r="G1136" s="13">
        <v>44462.7106422338</v>
      </c>
      <c r="H1136" s="14">
        <f>IFERROR(__xludf.DUMMYFUNCTION("SPLIT(G1136, "", "")"),44462.0)</f>
        <v>44462</v>
      </c>
      <c r="I1136" s="15">
        <f>IFERROR(__xludf.DUMMYFUNCTION("""COMPUTED_VALUE"""),0.7106365740740741)</f>
        <v>0.7106365741</v>
      </c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</row>
    <row r="1137">
      <c r="A1137" s="12">
        <v>3.65</v>
      </c>
      <c r="B1137" s="12">
        <v>228.7</v>
      </c>
      <c r="C1137" s="12">
        <v>536.5</v>
      </c>
      <c r="D1137" s="12">
        <v>4.24</v>
      </c>
      <c r="E1137" s="12">
        <v>0.64</v>
      </c>
      <c r="F1137" s="12">
        <v>50.0</v>
      </c>
      <c r="G1137" s="13">
        <v>44462.71074537037</v>
      </c>
      <c r="H1137" s="14">
        <f>IFERROR(__xludf.DUMMYFUNCTION("SPLIT(G1137, "", "")"),44462.0)</f>
        <v>44462</v>
      </c>
      <c r="I1137" s="15">
        <f>IFERROR(__xludf.DUMMYFUNCTION("""COMPUTED_VALUE"""),0.7107407407407408)</f>
        <v>0.7107407407</v>
      </c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</row>
    <row r="1138">
      <c r="A1138" s="12">
        <v>3.64</v>
      </c>
      <c r="B1138" s="12">
        <v>228.7</v>
      </c>
      <c r="C1138" s="12">
        <v>536.5</v>
      </c>
      <c r="D1138" s="12">
        <v>4.24</v>
      </c>
      <c r="E1138" s="12">
        <v>0.64</v>
      </c>
      <c r="F1138" s="12">
        <v>50.0</v>
      </c>
      <c r="G1138" s="13">
        <v>44462.71084866898</v>
      </c>
      <c r="H1138" s="14">
        <f>IFERROR(__xludf.DUMMYFUNCTION("SPLIT(G1138, "", "")"),44462.0)</f>
        <v>44462</v>
      </c>
      <c r="I1138" s="15">
        <f>IFERROR(__xludf.DUMMYFUNCTION("""COMPUTED_VALUE"""),0.7108449074074074)</f>
        <v>0.7108449074</v>
      </c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</row>
    <row r="1139">
      <c r="A1139" s="12">
        <v>3.64</v>
      </c>
      <c r="B1139" s="12">
        <v>228.7</v>
      </c>
      <c r="C1139" s="12">
        <v>536.5</v>
      </c>
      <c r="D1139" s="12">
        <v>4.24</v>
      </c>
      <c r="E1139" s="12">
        <v>0.64</v>
      </c>
      <c r="F1139" s="12">
        <v>50.0</v>
      </c>
      <c r="G1139" s="13">
        <v>44462.71095142361</v>
      </c>
      <c r="H1139" s="14">
        <f>IFERROR(__xludf.DUMMYFUNCTION("SPLIT(G1139, "", "")"),44462.0)</f>
        <v>44462</v>
      </c>
      <c r="I1139" s="15">
        <f>IFERROR(__xludf.DUMMYFUNCTION("""COMPUTED_VALUE"""),0.710949074074074)</f>
        <v>0.7109490741</v>
      </c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</row>
    <row r="1140">
      <c r="A1140" s="12">
        <v>3.64</v>
      </c>
      <c r="B1140" s="12">
        <v>228.6</v>
      </c>
      <c r="C1140" s="12">
        <v>536.7</v>
      </c>
      <c r="D1140" s="12">
        <v>4.24</v>
      </c>
      <c r="E1140" s="12">
        <v>0.64</v>
      </c>
      <c r="F1140" s="12">
        <v>50.0</v>
      </c>
      <c r="G1140" s="13">
        <v>44462.71105452546</v>
      </c>
      <c r="H1140" s="14">
        <f>IFERROR(__xludf.DUMMYFUNCTION("SPLIT(G1140, "", "")"),44462.0)</f>
        <v>44462</v>
      </c>
      <c r="I1140" s="15">
        <f>IFERROR(__xludf.DUMMYFUNCTION("""COMPUTED_VALUE"""),0.7110532407407407)</f>
        <v>0.7110532407</v>
      </c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</row>
    <row r="1141">
      <c r="A1141" s="12">
        <v>3.65</v>
      </c>
      <c r="B1141" s="12">
        <v>228.5</v>
      </c>
      <c r="C1141" s="12">
        <v>536.7</v>
      </c>
      <c r="D1141" s="12">
        <v>4.24</v>
      </c>
      <c r="E1141" s="12">
        <v>0.64</v>
      </c>
      <c r="F1141" s="12">
        <v>50.0</v>
      </c>
      <c r="G1141" s="13">
        <v>44462.71115861111</v>
      </c>
      <c r="H1141" s="14">
        <f>IFERROR(__xludf.DUMMYFUNCTION("SPLIT(G1141, "", "")"),44462.0)</f>
        <v>44462</v>
      </c>
      <c r="I1141" s="15">
        <f>IFERROR(__xludf.DUMMYFUNCTION("""COMPUTED_VALUE"""),0.7111574074074074)</f>
        <v>0.7111574074</v>
      </c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</row>
    <row r="1142">
      <c r="A1142" s="12">
        <v>3.64</v>
      </c>
      <c r="B1142" s="12">
        <v>228.5</v>
      </c>
      <c r="C1142" s="12">
        <v>536.8</v>
      </c>
      <c r="D1142" s="12">
        <v>4.24</v>
      </c>
      <c r="E1142" s="12">
        <v>0.64</v>
      </c>
      <c r="F1142" s="12">
        <v>50.0</v>
      </c>
      <c r="G1142" s="13">
        <v>44462.711264513884</v>
      </c>
      <c r="H1142" s="14">
        <f>IFERROR(__xludf.DUMMYFUNCTION("SPLIT(G1142, "", "")"),44462.0)</f>
        <v>44462</v>
      </c>
      <c r="I1142" s="15">
        <f>IFERROR(__xludf.DUMMYFUNCTION("""COMPUTED_VALUE"""),0.7112615740740741)</f>
        <v>0.7112615741</v>
      </c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</row>
    <row r="1143">
      <c r="A1143" s="12">
        <v>3.65</v>
      </c>
      <c r="B1143" s="12">
        <v>228.5</v>
      </c>
      <c r="C1143" s="12">
        <v>536.8</v>
      </c>
      <c r="D1143" s="12">
        <v>4.25</v>
      </c>
      <c r="E1143" s="12">
        <v>0.64</v>
      </c>
      <c r="F1143" s="12">
        <v>50.0</v>
      </c>
      <c r="G1143" s="13">
        <v>44462.71137396991</v>
      </c>
      <c r="H1143" s="14">
        <f>IFERROR(__xludf.DUMMYFUNCTION("SPLIT(G1143, "", "")"),44462.0)</f>
        <v>44462</v>
      </c>
      <c r="I1143" s="15">
        <f>IFERROR(__xludf.DUMMYFUNCTION("""COMPUTED_VALUE"""),0.7113773148148148)</f>
        <v>0.7113773148</v>
      </c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</row>
    <row r="1144">
      <c r="A1144" s="12">
        <v>3.64</v>
      </c>
      <c r="B1144" s="12">
        <v>228.6</v>
      </c>
      <c r="C1144" s="12">
        <v>536.9</v>
      </c>
      <c r="D1144" s="12">
        <v>4.25</v>
      </c>
      <c r="E1144" s="12">
        <v>0.64</v>
      </c>
      <c r="F1144" s="12">
        <v>50.0</v>
      </c>
      <c r="G1144" s="13">
        <v>44462.71148896991</v>
      </c>
      <c r="H1144" s="14">
        <f>IFERROR(__xludf.DUMMYFUNCTION("SPLIT(G1144, "", "")"),44462.0)</f>
        <v>44462</v>
      </c>
      <c r="I1144" s="15">
        <f>IFERROR(__xludf.DUMMYFUNCTION("""COMPUTED_VALUE"""),0.7114930555555555)</f>
        <v>0.7114930556</v>
      </c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</row>
    <row r="1145">
      <c r="A1145" s="12">
        <v>3.65</v>
      </c>
      <c r="B1145" s="12">
        <v>228.5</v>
      </c>
      <c r="C1145" s="12">
        <v>537.0</v>
      </c>
      <c r="D1145" s="12">
        <v>4.25</v>
      </c>
      <c r="E1145" s="12">
        <v>0.64</v>
      </c>
      <c r="F1145" s="12">
        <v>50.0</v>
      </c>
      <c r="G1145" s="13">
        <v>44462.71159604167</v>
      </c>
      <c r="H1145" s="14">
        <f>IFERROR(__xludf.DUMMYFUNCTION("SPLIT(G1145, "", "")"),44462.0)</f>
        <v>44462</v>
      </c>
      <c r="I1145" s="15">
        <f>IFERROR(__xludf.DUMMYFUNCTION("""COMPUTED_VALUE"""),0.7115972222222222)</f>
        <v>0.7115972222</v>
      </c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</row>
    <row r="1146">
      <c r="A1146" s="12">
        <v>3.68</v>
      </c>
      <c r="B1146" s="12">
        <v>228.5</v>
      </c>
      <c r="C1146" s="12">
        <v>537.1</v>
      </c>
      <c r="D1146" s="12">
        <v>4.25</v>
      </c>
      <c r="E1146" s="12">
        <v>0.64</v>
      </c>
      <c r="F1146" s="12">
        <v>50.0</v>
      </c>
      <c r="G1146" s="13">
        <v>44462.711698506944</v>
      </c>
      <c r="H1146" s="14">
        <f>IFERROR(__xludf.DUMMYFUNCTION("SPLIT(G1146, "", "")"),44462.0)</f>
        <v>44462</v>
      </c>
      <c r="I1146" s="15">
        <f>IFERROR(__xludf.DUMMYFUNCTION("""COMPUTED_VALUE"""),0.7117013888888889)</f>
        <v>0.7117013889</v>
      </c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</row>
    <row r="1147">
      <c r="A1147" s="12">
        <v>3.68</v>
      </c>
      <c r="B1147" s="12">
        <v>228.4</v>
      </c>
      <c r="C1147" s="12">
        <v>537.1</v>
      </c>
      <c r="D1147" s="12">
        <v>4.25</v>
      </c>
      <c r="E1147" s="12">
        <v>0.64</v>
      </c>
      <c r="F1147" s="12">
        <v>49.9</v>
      </c>
      <c r="G1147" s="13">
        <v>44462.71180283565</v>
      </c>
      <c r="H1147" s="14">
        <f>IFERROR(__xludf.DUMMYFUNCTION("SPLIT(G1147, "", "")"),44462.0)</f>
        <v>44462</v>
      </c>
      <c r="I1147" s="15">
        <f>IFERROR(__xludf.DUMMYFUNCTION("""COMPUTED_VALUE"""),0.7118055555555556)</f>
        <v>0.7118055556</v>
      </c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</row>
    <row r="1148">
      <c r="A1148" s="12">
        <v>3.69</v>
      </c>
      <c r="B1148" s="12">
        <v>228.4</v>
      </c>
      <c r="C1148" s="12">
        <v>537.2</v>
      </c>
      <c r="D1148" s="12">
        <v>4.25</v>
      </c>
      <c r="E1148" s="12">
        <v>0.64</v>
      </c>
      <c r="F1148" s="12">
        <v>49.9</v>
      </c>
      <c r="G1148" s="13">
        <v>44462.71190541667</v>
      </c>
      <c r="H1148" s="14">
        <f>IFERROR(__xludf.DUMMYFUNCTION("SPLIT(G1148, "", "")"),44462.0)</f>
        <v>44462</v>
      </c>
      <c r="I1148" s="15">
        <f>IFERROR(__xludf.DUMMYFUNCTION("""COMPUTED_VALUE"""),0.7119097222222223)</f>
        <v>0.7119097222</v>
      </c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</row>
    <row r="1149">
      <c r="A1149" s="12">
        <v>3.69</v>
      </c>
      <c r="B1149" s="12">
        <v>228.2</v>
      </c>
      <c r="C1149" s="12">
        <v>537.3</v>
      </c>
      <c r="D1149" s="12">
        <v>4.26</v>
      </c>
      <c r="E1149" s="12">
        <v>0.64</v>
      </c>
      <c r="F1149" s="12">
        <v>49.9</v>
      </c>
      <c r="G1149" s="13">
        <v>44462.712013530094</v>
      </c>
      <c r="H1149" s="14">
        <f>IFERROR(__xludf.DUMMYFUNCTION("SPLIT(G1149, "", "")"),44462.0)</f>
        <v>44462</v>
      </c>
      <c r="I1149" s="15">
        <f>IFERROR(__xludf.DUMMYFUNCTION("""COMPUTED_VALUE"""),0.7120138888888888)</f>
        <v>0.7120138889</v>
      </c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</row>
    <row r="1150">
      <c r="A1150" s="12">
        <v>3.69</v>
      </c>
      <c r="B1150" s="12">
        <v>228.2</v>
      </c>
      <c r="C1150" s="12">
        <v>537.3</v>
      </c>
      <c r="D1150" s="12">
        <v>4.26</v>
      </c>
      <c r="E1150" s="12">
        <v>0.64</v>
      </c>
      <c r="F1150" s="12">
        <v>49.9</v>
      </c>
      <c r="G1150" s="13">
        <v>44462.71212055556</v>
      </c>
      <c r="H1150" s="14">
        <f>IFERROR(__xludf.DUMMYFUNCTION("SPLIT(G1150, "", "")"),44462.0)</f>
        <v>44462</v>
      </c>
      <c r="I1150" s="15">
        <f>IFERROR(__xludf.DUMMYFUNCTION("""COMPUTED_VALUE"""),0.7121180555555555)</f>
        <v>0.7121180556</v>
      </c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</row>
    <row r="1151">
      <c r="A1151" s="12">
        <v>3.66</v>
      </c>
      <c r="B1151" s="12">
        <v>228.2</v>
      </c>
      <c r="C1151" s="12">
        <v>537.3</v>
      </c>
      <c r="D1151" s="12">
        <v>4.26</v>
      </c>
      <c r="E1151" s="12">
        <v>0.64</v>
      </c>
      <c r="F1151" s="12">
        <v>50.0</v>
      </c>
      <c r="G1151" s="13">
        <v>44462.71222429398</v>
      </c>
      <c r="H1151" s="14">
        <f>IFERROR(__xludf.DUMMYFUNCTION("SPLIT(G1151, "", "")"),44462.0)</f>
        <v>44462</v>
      </c>
      <c r="I1151" s="15">
        <f>IFERROR(__xludf.DUMMYFUNCTION("""COMPUTED_VALUE"""),0.7122222222222222)</f>
        <v>0.7122222222</v>
      </c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</row>
    <row r="1152">
      <c r="A1152" s="12">
        <v>3.65</v>
      </c>
      <c r="B1152" s="12">
        <v>228.1</v>
      </c>
      <c r="C1152" s="12">
        <v>537.4</v>
      </c>
      <c r="D1152" s="12">
        <v>4.26</v>
      </c>
      <c r="E1152" s="12">
        <v>0.65</v>
      </c>
      <c r="F1152" s="12">
        <v>49.9</v>
      </c>
      <c r="G1152" s="13">
        <v>44462.712328194444</v>
      </c>
      <c r="H1152" s="14">
        <f>IFERROR(__xludf.DUMMYFUNCTION("SPLIT(G1152, "", "")"),44462.0)</f>
        <v>44462</v>
      </c>
      <c r="I1152" s="15">
        <f>IFERROR(__xludf.DUMMYFUNCTION("""COMPUTED_VALUE"""),0.7123263888888889)</f>
        <v>0.7123263889</v>
      </c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</row>
    <row r="1153">
      <c r="A1153" s="12">
        <v>3.66</v>
      </c>
      <c r="B1153" s="12">
        <v>228.2</v>
      </c>
      <c r="C1153" s="12">
        <v>537.6</v>
      </c>
      <c r="D1153" s="12">
        <v>4.26</v>
      </c>
      <c r="E1153" s="12">
        <v>0.64</v>
      </c>
      <c r="F1153" s="12">
        <v>50.0</v>
      </c>
      <c r="G1153" s="13">
        <v>44462.712431747685</v>
      </c>
      <c r="H1153" s="14">
        <f>IFERROR(__xludf.DUMMYFUNCTION("SPLIT(G1153, "", "")"),44462.0)</f>
        <v>44462</v>
      </c>
      <c r="I1153" s="15">
        <f>IFERROR(__xludf.DUMMYFUNCTION("""COMPUTED_VALUE"""),0.7124305555555556)</f>
        <v>0.7124305556</v>
      </c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</row>
    <row r="1154">
      <c r="A1154" s="12">
        <v>3.65</v>
      </c>
      <c r="B1154" s="12">
        <v>228.4</v>
      </c>
      <c r="C1154" s="12">
        <v>537.6</v>
      </c>
      <c r="D1154" s="12">
        <v>4.26</v>
      </c>
      <c r="E1154" s="12">
        <v>0.64</v>
      </c>
      <c r="F1154" s="12">
        <v>50.0</v>
      </c>
      <c r="G1154" s="13">
        <v>44462.712533125</v>
      </c>
      <c r="H1154" s="14">
        <f>IFERROR(__xludf.DUMMYFUNCTION("SPLIT(G1154, "", "")"),44462.0)</f>
        <v>44462</v>
      </c>
      <c r="I1154" s="15">
        <f>IFERROR(__xludf.DUMMYFUNCTION("""COMPUTED_VALUE"""),0.7125347222222222)</f>
        <v>0.7125347222</v>
      </c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</row>
    <row r="1155">
      <c r="A1155" s="12">
        <v>3.65</v>
      </c>
      <c r="B1155" s="12">
        <v>228.3</v>
      </c>
      <c r="C1155" s="12">
        <v>537.7</v>
      </c>
      <c r="D1155" s="12">
        <v>4.26</v>
      </c>
      <c r="E1155" s="12">
        <v>0.64</v>
      </c>
      <c r="F1155" s="12">
        <v>50.0</v>
      </c>
      <c r="G1155" s="13">
        <v>44462.71263652778</v>
      </c>
      <c r="H1155" s="14">
        <f>IFERROR(__xludf.DUMMYFUNCTION("SPLIT(G1155, "", "")"),44462.0)</f>
        <v>44462</v>
      </c>
      <c r="I1155" s="15">
        <f>IFERROR(__xludf.DUMMYFUNCTION("""COMPUTED_VALUE"""),0.7126388888888889)</f>
        <v>0.7126388889</v>
      </c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</row>
    <row r="1156">
      <c r="A1156" s="12">
        <v>3.65</v>
      </c>
      <c r="B1156" s="12">
        <v>228.4</v>
      </c>
      <c r="C1156" s="12">
        <v>537.8</v>
      </c>
      <c r="D1156" s="12">
        <v>4.26</v>
      </c>
      <c r="E1156" s="12">
        <v>0.64</v>
      </c>
      <c r="F1156" s="12">
        <v>50.0</v>
      </c>
      <c r="G1156" s="13">
        <v>44462.71274321759</v>
      </c>
      <c r="H1156" s="14">
        <f>IFERROR(__xludf.DUMMYFUNCTION("SPLIT(G1156, "", "")"),44462.0)</f>
        <v>44462</v>
      </c>
      <c r="I1156" s="15">
        <f>IFERROR(__xludf.DUMMYFUNCTION("""COMPUTED_VALUE"""),0.7127430555555555)</f>
        <v>0.7127430556</v>
      </c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</row>
    <row r="1157">
      <c r="A1157" s="12">
        <v>3.67</v>
      </c>
      <c r="B1157" s="12">
        <v>228.4</v>
      </c>
      <c r="C1157" s="12">
        <v>537.9</v>
      </c>
      <c r="D1157" s="12">
        <v>4.26</v>
      </c>
      <c r="E1157" s="12">
        <v>0.64</v>
      </c>
      <c r="F1157" s="12">
        <v>50.0</v>
      </c>
      <c r="G1157" s="13">
        <v>44462.71285023148</v>
      </c>
      <c r="H1157" s="14">
        <f>IFERROR(__xludf.DUMMYFUNCTION("SPLIT(G1157, "", "")"),44462.0)</f>
        <v>44462</v>
      </c>
      <c r="I1157" s="15">
        <f>IFERROR(__xludf.DUMMYFUNCTION("""COMPUTED_VALUE"""),0.7128472222222222)</f>
        <v>0.7128472222</v>
      </c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</row>
    <row r="1158">
      <c r="A1158" s="12">
        <v>3.66</v>
      </c>
      <c r="B1158" s="12">
        <v>228.4</v>
      </c>
      <c r="C1158" s="12">
        <v>538.0</v>
      </c>
      <c r="D1158" s="12">
        <v>4.27</v>
      </c>
      <c r="E1158" s="12">
        <v>0.64</v>
      </c>
      <c r="F1158" s="12">
        <v>50.0</v>
      </c>
      <c r="G1158" s="13">
        <v>44462.71295686343</v>
      </c>
      <c r="H1158" s="14">
        <f>IFERROR(__xludf.DUMMYFUNCTION("SPLIT(G1158, "", "")"),44462.0)</f>
        <v>44462</v>
      </c>
      <c r="I1158" s="15">
        <f>IFERROR(__xludf.DUMMYFUNCTION("""COMPUTED_VALUE"""),0.7129513888888889)</f>
        <v>0.7129513889</v>
      </c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</row>
    <row r="1159">
      <c r="A1159" s="12">
        <v>3.66</v>
      </c>
      <c r="B1159" s="12">
        <v>228.6</v>
      </c>
      <c r="C1159" s="12">
        <v>538.1</v>
      </c>
      <c r="D1159" s="12">
        <v>4.27</v>
      </c>
      <c r="E1159" s="12">
        <v>0.64</v>
      </c>
      <c r="F1159" s="12">
        <v>50.0</v>
      </c>
      <c r="G1159" s="13">
        <v>44462.71305983796</v>
      </c>
      <c r="H1159" s="14">
        <f>IFERROR(__xludf.DUMMYFUNCTION("SPLIT(G1159, "", "")"),44462.0)</f>
        <v>44462</v>
      </c>
      <c r="I1159" s="15">
        <f>IFERROR(__xludf.DUMMYFUNCTION("""COMPUTED_VALUE"""),0.7130555555555556)</f>
        <v>0.7130555556</v>
      </c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</row>
    <row r="1160">
      <c r="A1160" s="12">
        <v>3.66</v>
      </c>
      <c r="B1160" s="12">
        <v>228.5</v>
      </c>
      <c r="C1160" s="12">
        <v>538.2</v>
      </c>
      <c r="D1160" s="12">
        <v>4.27</v>
      </c>
      <c r="E1160" s="12">
        <v>0.64</v>
      </c>
      <c r="F1160" s="12">
        <v>50.0</v>
      </c>
      <c r="G1160" s="13">
        <v>44462.713167615744</v>
      </c>
      <c r="H1160" s="14">
        <f>IFERROR(__xludf.DUMMYFUNCTION("SPLIT(G1160, "", "")"),44462.0)</f>
        <v>44462</v>
      </c>
      <c r="I1160" s="15">
        <f>IFERROR(__xludf.DUMMYFUNCTION("""COMPUTED_VALUE"""),0.7131712962962963)</f>
        <v>0.7131712963</v>
      </c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</row>
    <row r="1161">
      <c r="A1161" s="12">
        <v>3.66</v>
      </c>
      <c r="B1161" s="12">
        <v>228.6</v>
      </c>
      <c r="C1161" s="12">
        <v>538.2</v>
      </c>
      <c r="D1161" s="12">
        <v>4.27</v>
      </c>
      <c r="E1161" s="12">
        <v>0.64</v>
      </c>
      <c r="F1161" s="12">
        <v>50.0</v>
      </c>
      <c r="G1161" s="13">
        <v>44462.71327412037</v>
      </c>
      <c r="H1161" s="14">
        <f>IFERROR(__xludf.DUMMYFUNCTION("SPLIT(G1161, "", "")"),44462.0)</f>
        <v>44462</v>
      </c>
      <c r="I1161" s="15">
        <f>IFERROR(__xludf.DUMMYFUNCTION("""COMPUTED_VALUE"""),0.713275462962963)</f>
        <v>0.713275463</v>
      </c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</row>
    <row r="1162">
      <c r="A1162" s="12">
        <v>3.66</v>
      </c>
      <c r="B1162" s="12">
        <v>228.5</v>
      </c>
      <c r="C1162" s="12">
        <v>538.3</v>
      </c>
      <c r="D1162" s="12">
        <v>4.27</v>
      </c>
      <c r="E1162" s="12">
        <v>0.64</v>
      </c>
      <c r="F1162" s="12">
        <v>50.0</v>
      </c>
      <c r="G1162" s="13">
        <v>44462.71337521991</v>
      </c>
      <c r="H1162" s="14">
        <f>IFERROR(__xludf.DUMMYFUNCTION("SPLIT(G1162, "", "")"),44462.0)</f>
        <v>44462</v>
      </c>
      <c r="I1162" s="15">
        <f>IFERROR(__xludf.DUMMYFUNCTION("""COMPUTED_VALUE"""),0.7133796296296296)</f>
        <v>0.7133796296</v>
      </c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</row>
    <row r="1163">
      <c r="A1163" s="12">
        <v>3.66</v>
      </c>
      <c r="B1163" s="12">
        <v>228.5</v>
      </c>
      <c r="C1163" s="12">
        <v>538.3</v>
      </c>
      <c r="D1163" s="12">
        <v>4.27</v>
      </c>
      <c r="E1163" s="12">
        <v>0.64</v>
      </c>
      <c r="F1163" s="12">
        <v>50.0</v>
      </c>
      <c r="G1163" s="13">
        <v>44462.71348100694</v>
      </c>
      <c r="H1163" s="14">
        <f>IFERROR(__xludf.DUMMYFUNCTION("SPLIT(G1163, "", "")"),44462.0)</f>
        <v>44462</v>
      </c>
      <c r="I1163" s="15">
        <f>IFERROR(__xludf.DUMMYFUNCTION("""COMPUTED_VALUE"""),0.7134837962962963)</f>
        <v>0.7134837963</v>
      </c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</row>
    <row r="1164">
      <c r="A1164" s="12">
        <v>3.67</v>
      </c>
      <c r="B1164" s="12">
        <v>228.2</v>
      </c>
      <c r="C1164" s="12">
        <v>538.3</v>
      </c>
      <c r="D1164" s="12">
        <v>4.28</v>
      </c>
      <c r="E1164" s="12">
        <v>0.64</v>
      </c>
      <c r="F1164" s="12">
        <v>50.0</v>
      </c>
      <c r="G1164" s="13">
        <v>44462.713588287035</v>
      </c>
      <c r="H1164" s="14">
        <f>IFERROR(__xludf.DUMMYFUNCTION("SPLIT(G1164, "", "")"),44462.0)</f>
        <v>44462</v>
      </c>
      <c r="I1164" s="15">
        <f>IFERROR(__xludf.DUMMYFUNCTION("""COMPUTED_VALUE"""),0.713587962962963)</f>
        <v>0.713587963</v>
      </c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</row>
    <row r="1165">
      <c r="A1165" s="12">
        <v>3.67</v>
      </c>
      <c r="B1165" s="12">
        <v>228.2</v>
      </c>
      <c r="C1165" s="12">
        <v>538.5</v>
      </c>
      <c r="D1165" s="12">
        <v>4.28</v>
      </c>
      <c r="E1165" s="12">
        <v>0.64</v>
      </c>
      <c r="F1165" s="12">
        <v>50.0</v>
      </c>
      <c r="G1165" s="13">
        <v>44462.713696631945</v>
      </c>
      <c r="H1165" s="14">
        <f>IFERROR(__xludf.DUMMYFUNCTION("SPLIT(G1165, "", "")"),44462.0)</f>
        <v>44462</v>
      </c>
      <c r="I1165" s="15">
        <f>IFERROR(__xludf.DUMMYFUNCTION("""COMPUTED_VALUE"""),0.7136921296296296)</f>
        <v>0.7136921296</v>
      </c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</row>
    <row r="1166">
      <c r="A1166" s="12">
        <v>3.67</v>
      </c>
      <c r="B1166" s="12">
        <v>228.4</v>
      </c>
      <c r="C1166" s="12">
        <v>538.4</v>
      </c>
      <c r="D1166" s="12">
        <v>4.28</v>
      </c>
      <c r="E1166" s="12">
        <v>0.64</v>
      </c>
      <c r="F1166" s="12">
        <v>50.0</v>
      </c>
      <c r="G1166" s="13">
        <v>44462.71379505787</v>
      </c>
      <c r="H1166" s="14">
        <f>IFERROR(__xludf.DUMMYFUNCTION("SPLIT(G1166, "", "")"),44462.0)</f>
        <v>44462</v>
      </c>
      <c r="I1166" s="15">
        <f>IFERROR(__xludf.DUMMYFUNCTION("""COMPUTED_VALUE"""),0.7137962962962963)</f>
        <v>0.7137962963</v>
      </c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</row>
    <row r="1167">
      <c r="A1167" s="12">
        <v>3.68</v>
      </c>
      <c r="B1167" s="12">
        <v>228.3</v>
      </c>
      <c r="C1167" s="12">
        <v>538.5</v>
      </c>
      <c r="D1167" s="12">
        <v>4.28</v>
      </c>
      <c r="E1167" s="12">
        <v>0.64</v>
      </c>
      <c r="F1167" s="12">
        <v>50.0</v>
      </c>
      <c r="G1167" s="13">
        <v>44462.713895486115</v>
      </c>
      <c r="H1167" s="14">
        <f>IFERROR(__xludf.DUMMYFUNCTION("SPLIT(G1167, "", "")"),44462.0)</f>
        <v>44462</v>
      </c>
      <c r="I1167" s="15">
        <f>IFERROR(__xludf.DUMMYFUNCTION("""COMPUTED_VALUE"""),0.713900462962963)</f>
        <v>0.713900463</v>
      </c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</row>
    <row r="1168">
      <c r="A1168" s="12">
        <v>3.67</v>
      </c>
      <c r="B1168" s="12">
        <v>228.1</v>
      </c>
      <c r="C1168" s="12">
        <v>538.6</v>
      </c>
      <c r="D1168" s="12">
        <v>4.28</v>
      </c>
      <c r="E1168" s="12">
        <v>0.64</v>
      </c>
      <c r="F1168" s="12">
        <v>50.0</v>
      </c>
      <c r="G1168" s="13">
        <v>44462.713996516206</v>
      </c>
      <c r="H1168" s="14">
        <f>IFERROR(__xludf.DUMMYFUNCTION("SPLIT(G1168, "", "")"),44462.0)</f>
        <v>44462</v>
      </c>
      <c r="I1168" s="15">
        <f>IFERROR(__xludf.DUMMYFUNCTION("""COMPUTED_VALUE"""),0.7139930555555556)</f>
        <v>0.7139930556</v>
      </c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</row>
    <row r="1169">
      <c r="A1169" s="12">
        <v>3.68</v>
      </c>
      <c r="B1169" s="12">
        <v>228.1</v>
      </c>
      <c r="C1169" s="12">
        <v>538.6</v>
      </c>
      <c r="D1169" s="12">
        <v>4.28</v>
      </c>
      <c r="E1169" s="12">
        <v>0.64</v>
      </c>
      <c r="F1169" s="12">
        <v>50.0</v>
      </c>
      <c r="G1169" s="13">
        <v>44462.71409983796</v>
      </c>
      <c r="H1169" s="14">
        <f>IFERROR(__xludf.DUMMYFUNCTION("SPLIT(G1169, "", "")"),44462.0)</f>
        <v>44462</v>
      </c>
      <c r="I1169" s="15">
        <f>IFERROR(__xludf.DUMMYFUNCTION("""COMPUTED_VALUE"""),0.7140972222222223)</f>
        <v>0.7140972222</v>
      </c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</row>
    <row r="1170">
      <c r="A1170" s="12">
        <v>3.67</v>
      </c>
      <c r="B1170" s="12">
        <v>228.3</v>
      </c>
      <c r="C1170" s="12">
        <v>538.8</v>
      </c>
      <c r="D1170" s="12">
        <v>4.28</v>
      </c>
      <c r="E1170" s="12">
        <v>0.64</v>
      </c>
      <c r="F1170" s="12">
        <v>50.0</v>
      </c>
      <c r="G1170" s="13">
        <v>44462.71419982639</v>
      </c>
      <c r="H1170" s="14">
        <f>IFERROR(__xludf.DUMMYFUNCTION("SPLIT(G1170, "", "")"),44462.0)</f>
        <v>44462</v>
      </c>
      <c r="I1170" s="15">
        <f>IFERROR(__xludf.DUMMYFUNCTION("""COMPUTED_VALUE"""),0.7142013888888888)</f>
        <v>0.7142013889</v>
      </c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</row>
    <row r="1171">
      <c r="A1171" s="12">
        <v>3.67</v>
      </c>
      <c r="B1171" s="12">
        <v>228.3</v>
      </c>
      <c r="C1171" s="12">
        <v>538.8</v>
      </c>
      <c r="D1171" s="12">
        <v>4.28</v>
      </c>
      <c r="E1171" s="12">
        <v>0.64</v>
      </c>
      <c r="F1171" s="12">
        <v>50.0</v>
      </c>
      <c r="G1171" s="13">
        <v>44462.71430365741</v>
      </c>
      <c r="H1171" s="14">
        <f>IFERROR(__xludf.DUMMYFUNCTION("SPLIT(G1171, "", "")"),44462.0)</f>
        <v>44462</v>
      </c>
      <c r="I1171" s="15">
        <f>IFERROR(__xludf.DUMMYFUNCTION("""COMPUTED_VALUE"""),0.7143055555555555)</f>
        <v>0.7143055556</v>
      </c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</row>
    <row r="1172">
      <c r="A1172" s="12">
        <v>3.69</v>
      </c>
      <c r="B1172" s="12">
        <v>228.2</v>
      </c>
      <c r="C1172" s="12">
        <v>538.9</v>
      </c>
      <c r="D1172" s="12">
        <v>4.29</v>
      </c>
      <c r="E1172" s="12">
        <v>0.64</v>
      </c>
      <c r="F1172" s="12">
        <v>50.0</v>
      </c>
      <c r="G1172" s="13">
        <v>44462.714405300925</v>
      </c>
      <c r="H1172" s="14">
        <f>IFERROR(__xludf.DUMMYFUNCTION("SPLIT(G1172, "", "")"),44462.0)</f>
        <v>44462</v>
      </c>
      <c r="I1172" s="15">
        <f>IFERROR(__xludf.DUMMYFUNCTION("""COMPUTED_VALUE"""),0.7144097222222222)</f>
        <v>0.7144097222</v>
      </c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</row>
    <row r="1173">
      <c r="A1173" s="12">
        <v>3.69</v>
      </c>
      <c r="B1173" s="12">
        <v>228.3</v>
      </c>
      <c r="C1173" s="12">
        <v>539.0</v>
      </c>
      <c r="D1173" s="12">
        <v>4.29</v>
      </c>
      <c r="E1173" s="12">
        <v>0.64</v>
      </c>
      <c r="F1173" s="12">
        <v>50.0</v>
      </c>
      <c r="G1173" s="13">
        <v>44462.71450534722</v>
      </c>
      <c r="H1173" s="14">
        <f>IFERROR(__xludf.DUMMYFUNCTION("SPLIT(G1173, "", "")"),44462.0)</f>
        <v>44462</v>
      </c>
      <c r="I1173" s="15">
        <f>IFERROR(__xludf.DUMMYFUNCTION("""COMPUTED_VALUE"""),0.7145023148148149)</f>
        <v>0.7145023148</v>
      </c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</row>
    <row r="1174">
      <c r="A1174" s="12">
        <v>3.67</v>
      </c>
      <c r="B1174" s="12">
        <v>228.2</v>
      </c>
      <c r="C1174" s="12">
        <v>539.0</v>
      </c>
      <c r="D1174" s="12">
        <v>4.29</v>
      </c>
      <c r="E1174" s="12">
        <v>0.64</v>
      </c>
      <c r="F1174" s="12">
        <v>50.0</v>
      </c>
      <c r="G1174" s="13">
        <v>44462.714604849534</v>
      </c>
      <c r="H1174" s="14">
        <f>IFERROR(__xludf.DUMMYFUNCTION("SPLIT(G1174, "", "")"),44462.0)</f>
        <v>44462</v>
      </c>
      <c r="I1174" s="15">
        <f>IFERROR(__xludf.DUMMYFUNCTION("""COMPUTED_VALUE"""),0.7146064814814815)</f>
        <v>0.7146064815</v>
      </c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</row>
    <row r="1175">
      <c r="A1175" s="12">
        <v>3.67</v>
      </c>
      <c r="B1175" s="12">
        <v>228.2</v>
      </c>
      <c r="C1175" s="12">
        <v>539.0</v>
      </c>
      <c r="D1175" s="12">
        <v>4.29</v>
      </c>
      <c r="E1175" s="12">
        <v>0.64</v>
      </c>
      <c r="F1175" s="12">
        <v>50.0</v>
      </c>
      <c r="G1175" s="13">
        <v>44462.71470560185</v>
      </c>
      <c r="H1175" s="14">
        <f>IFERROR(__xludf.DUMMYFUNCTION("SPLIT(G1175, "", "")"),44462.0)</f>
        <v>44462</v>
      </c>
      <c r="I1175" s="15">
        <f>IFERROR(__xludf.DUMMYFUNCTION("""COMPUTED_VALUE"""),0.7147106481481481)</f>
        <v>0.7147106481</v>
      </c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</row>
    <row r="1176">
      <c r="A1176" s="12">
        <v>3.68</v>
      </c>
      <c r="B1176" s="12">
        <v>228.2</v>
      </c>
      <c r="C1176" s="12">
        <v>539.1</v>
      </c>
      <c r="D1176" s="12">
        <v>4.29</v>
      </c>
      <c r="E1176" s="12">
        <v>0.64</v>
      </c>
      <c r="F1176" s="12">
        <v>50.0</v>
      </c>
      <c r="G1176" s="13">
        <v>44462.71480822917</v>
      </c>
      <c r="H1176" s="14">
        <f>IFERROR(__xludf.DUMMYFUNCTION("SPLIT(G1176, "", "")"),44462.0)</f>
        <v>44462</v>
      </c>
      <c r="I1176" s="15">
        <f>IFERROR(__xludf.DUMMYFUNCTION("""COMPUTED_VALUE"""),0.7148032407407408)</f>
        <v>0.7148032407</v>
      </c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</row>
    <row r="1177">
      <c r="A1177" s="12">
        <v>3.68</v>
      </c>
      <c r="B1177" s="12">
        <v>228.3</v>
      </c>
      <c r="C1177" s="12">
        <v>539.2</v>
      </c>
      <c r="D1177" s="12">
        <v>4.29</v>
      </c>
      <c r="E1177" s="12">
        <v>0.64</v>
      </c>
      <c r="F1177" s="12">
        <v>50.0</v>
      </c>
      <c r="G1177" s="13">
        <v>44462.71491041667</v>
      </c>
      <c r="H1177" s="14">
        <f>IFERROR(__xludf.DUMMYFUNCTION("SPLIT(G1177, "", "")"),44462.0)</f>
        <v>44462</v>
      </c>
      <c r="I1177" s="15">
        <f>IFERROR(__xludf.DUMMYFUNCTION("""COMPUTED_VALUE"""),0.7149074074074074)</f>
        <v>0.7149074074</v>
      </c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</row>
    <row r="1178">
      <c r="A1178" s="12">
        <v>3.67</v>
      </c>
      <c r="B1178" s="12">
        <v>228.2</v>
      </c>
      <c r="C1178" s="12">
        <v>539.1</v>
      </c>
      <c r="D1178" s="12">
        <v>4.29</v>
      </c>
      <c r="E1178" s="12">
        <v>0.64</v>
      </c>
      <c r="F1178" s="12">
        <v>50.0</v>
      </c>
      <c r="G1178" s="13">
        <v>44462.71501219907</v>
      </c>
      <c r="H1178" s="14">
        <f>IFERROR(__xludf.DUMMYFUNCTION("SPLIT(G1178, "", "")"),44462.0)</f>
        <v>44462</v>
      </c>
      <c r="I1178" s="15">
        <f>IFERROR(__xludf.DUMMYFUNCTION("""COMPUTED_VALUE"""),0.7150115740740741)</f>
        <v>0.7150115741</v>
      </c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</row>
    <row r="1179">
      <c r="A1179" s="12">
        <v>3.67</v>
      </c>
      <c r="B1179" s="12">
        <v>228.3</v>
      </c>
      <c r="C1179" s="12">
        <v>539.2</v>
      </c>
      <c r="D1179" s="12">
        <v>4.3</v>
      </c>
      <c r="E1179" s="12">
        <v>0.64</v>
      </c>
      <c r="F1179" s="12">
        <v>50.0</v>
      </c>
      <c r="G1179" s="13">
        <v>44462.71511913194</v>
      </c>
      <c r="H1179" s="14">
        <f>IFERROR(__xludf.DUMMYFUNCTION("SPLIT(G1179, "", "")"),44462.0)</f>
        <v>44462</v>
      </c>
      <c r="I1179" s="15">
        <f>IFERROR(__xludf.DUMMYFUNCTION("""COMPUTED_VALUE"""),0.7151157407407407)</f>
        <v>0.7151157407</v>
      </c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</row>
    <row r="1180">
      <c r="A1180" s="12">
        <v>3.68</v>
      </c>
      <c r="B1180" s="12">
        <v>228.0</v>
      </c>
      <c r="C1180" s="12">
        <v>539.3</v>
      </c>
      <c r="D1180" s="12">
        <v>4.3</v>
      </c>
      <c r="E1180" s="12">
        <v>0.64</v>
      </c>
      <c r="F1180" s="12">
        <v>50.0</v>
      </c>
      <c r="G1180" s="13">
        <v>44462.71522113426</v>
      </c>
      <c r="H1180" s="14">
        <f>IFERROR(__xludf.DUMMYFUNCTION("SPLIT(G1180, "", "")"),44462.0)</f>
        <v>44462</v>
      </c>
      <c r="I1180" s="15">
        <f>IFERROR(__xludf.DUMMYFUNCTION("""COMPUTED_VALUE"""),0.7152199074074074)</f>
        <v>0.7152199074</v>
      </c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</row>
    <row r="1181">
      <c r="A1181" s="12">
        <v>3.7</v>
      </c>
      <c r="B1181" s="12">
        <v>228.0</v>
      </c>
      <c r="C1181" s="12">
        <v>539.5</v>
      </c>
      <c r="D1181" s="12">
        <v>4.3</v>
      </c>
      <c r="E1181" s="12">
        <v>0.64</v>
      </c>
      <c r="F1181" s="12">
        <v>50.0</v>
      </c>
      <c r="G1181" s="13">
        <v>44462.71532451389</v>
      </c>
      <c r="H1181" s="14">
        <f>IFERROR(__xludf.DUMMYFUNCTION("SPLIT(G1181, "", "")"),44462.0)</f>
        <v>44462</v>
      </c>
      <c r="I1181" s="15">
        <f>IFERROR(__xludf.DUMMYFUNCTION("""COMPUTED_VALUE"""),0.7153240740740741)</f>
        <v>0.7153240741</v>
      </c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</row>
    <row r="1182">
      <c r="A1182" s="12">
        <v>3.68</v>
      </c>
      <c r="B1182" s="12">
        <v>228.0</v>
      </c>
      <c r="C1182" s="12">
        <v>539.5</v>
      </c>
      <c r="D1182" s="12">
        <v>4.3</v>
      </c>
      <c r="E1182" s="12">
        <v>0.64</v>
      </c>
      <c r="F1182" s="12">
        <v>50.0</v>
      </c>
      <c r="G1182" s="13">
        <v>44462.715424131944</v>
      </c>
      <c r="H1182" s="14">
        <f>IFERROR(__xludf.DUMMYFUNCTION("SPLIT(G1182, "", "")"),44462.0)</f>
        <v>44462</v>
      </c>
      <c r="I1182" s="15">
        <f>IFERROR(__xludf.DUMMYFUNCTION("""COMPUTED_VALUE"""),0.7154282407407407)</f>
        <v>0.7154282407</v>
      </c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</row>
    <row r="1183">
      <c r="A1183" s="12">
        <v>3.67</v>
      </c>
      <c r="B1183" s="12">
        <v>228.0</v>
      </c>
      <c r="C1183" s="12">
        <v>539.4</v>
      </c>
      <c r="D1183" s="12">
        <v>4.3</v>
      </c>
      <c r="E1183" s="12">
        <v>0.64</v>
      </c>
      <c r="F1183" s="12">
        <v>50.0</v>
      </c>
      <c r="G1183" s="13">
        <v>44462.715524479165</v>
      </c>
      <c r="H1183" s="14">
        <f>IFERROR(__xludf.DUMMYFUNCTION("SPLIT(G1183, "", "")"),44462.0)</f>
        <v>44462</v>
      </c>
      <c r="I1183" s="15">
        <f>IFERROR(__xludf.DUMMYFUNCTION("""COMPUTED_VALUE"""),0.7155208333333334)</f>
        <v>0.7155208333</v>
      </c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</row>
    <row r="1184">
      <c r="A1184" s="12">
        <v>3.67</v>
      </c>
      <c r="B1184" s="12">
        <v>228.1</v>
      </c>
      <c r="C1184" s="12">
        <v>539.5</v>
      </c>
      <c r="D1184" s="12">
        <v>4.3</v>
      </c>
      <c r="E1184" s="12">
        <v>0.64</v>
      </c>
      <c r="F1184" s="12">
        <v>50.0</v>
      </c>
      <c r="G1184" s="13">
        <v>44462.71562916666</v>
      </c>
      <c r="H1184" s="14">
        <f>IFERROR(__xludf.DUMMYFUNCTION("SPLIT(G1184, "", "")"),44462.0)</f>
        <v>44462</v>
      </c>
      <c r="I1184" s="15">
        <f>IFERROR(__xludf.DUMMYFUNCTION("""COMPUTED_VALUE"""),0.715625)</f>
        <v>0.715625</v>
      </c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</row>
    <row r="1185">
      <c r="A1185" s="12">
        <v>3.67</v>
      </c>
      <c r="B1185" s="12">
        <v>228.2</v>
      </c>
      <c r="C1185" s="12">
        <v>539.5</v>
      </c>
      <c r="D1185" s="12">
        <v>4.3</v>
      </c>
      <c r="E1185" s="12">
        <v>0.64</v>
      </c>
      <c r="F1185" s="12">
        <v>50.0</v>
      </c>
      <c r="G1185" s="13">
        <v>44462.715757962964</v>
      </c>
      <c r="H1185" s="14">
        <f>IFERROR(__xludf.DUMMYFUNCTION("SPLIT(G1185, "", "")"),44462.0)</f>
        <v>44462</v>
      </c>
      <c r="I1185" s="15">
        <f>IFERROR(__xludf.DUMMYFUNCTION("""COMPUTED_VALUE"""),0.7157523148148148)</f>
        <v>0.7157523148</v>
      </c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</row>
    <row r="1186">
      <c r="A1186" s="12">
        <v>3.68</v>
      </c>
      <c r="B1186" s="12">
        <v>228.2</v>
      </c>
      <c r="C1186" s="12">
        <v>539.6</v>
      </c>
      <c r="D1186" s="12">
        <v>4.3</v>
      </c>
      <c r="E1186" s="12">
        <v>0.64</v>
      </c>
      <c r="F1186" s="12">
        <v>50.0</v>
      </c>
      <c r="G1186" s="13">
        <v>44462.715865011574</v>
      </c>
      <c r="H1186" s="14">
        <f>IFERROR(__xludf.DUMMYFUNCTION("SPLIT(G1186, "", "")"),44462.0)</f>
        <v>44462</v>
      </c>
      <c r="I1186" s="15">
        <f>IFERROR(__xludf.DUMMYFUNCTION("""COMPUTED_VALUE"""),0.7158680555555555)</f>
        <v>0.7158680556</v>
      </c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</row>
    <row r="1187">
      <c r="A1187" s="12">
        <v>3.67</v>
      </c>
      <c r="B1187" s="12">
        <v>228.3</v>
      </c>
      <c r="C1187" s="12">
        <v>539.7</v>
      </c>
      <c r="D1187" s="12">
        <v>4.31</v>
      </c>
      <c r="E1187" s="12">
        <v>0.64</v>
      </c>
      <c r="F1187" s="12">
        <v>50.0</v>
      </c>
      <c r="G1187" s="13">
        <v>44462.71596734953</v>
      </c>
      <c r="H1187" s="14">
        <f>IFERROR(__xludf.DUMMYFUNCTION("SPLIT(G1187, "", "")"),44462.0)</f>
        <v>44462</v>
      </c>
      <c r="I1187" s="15">
        <f>IFERROR(__xludf.DUMMYFUNCTION("""COMPUTED_VALUE"""),0.7159722222222222)</f>
        <v>0.7159722222</v>
      </c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</row>
    <row r="1188">
      <c r="A1188" s="12">
        <v>3.67</v>
      </c>
      <c r="B1188" s="12">
        <v>228.1</v>
      </c>
      <c r="C1188" s="12">
        <v>539.7</v>
      </c>
      <c r="D1188" s="12">
        <v>4.31</v>
      </c>
      <c r="E1188" s="12">
        <v>0.64</v>
      </c>
      <c r="F1188" s="12">
        <v>50.0</v>
      </c>
      <c r="G1188" s="13">
        <v>44462.716071006944</v>
      </c>
      <c r="H1188" s="14">
        <f>IFERROR(__xludf.DUMMYFUNCTION("SPLIT(G1188, "", "")"),44462.0)</f>
        <v>44462</v>
      </c>
      <c r="I1188" s="15">
        <f>IFERROR(__xludf.DUMMYFUNCTION("""COMPUTED_VALUE"""),0.7160763888888889)</f>
        <v>0.7160763889</v>
      </c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</row>
    <row r="1189">
      <c r="A1189" s="12">
        <v>3.68</v>
      </c>
      <c r="B1189" s="12">
        <v>228.0</v>
      </c>
      <c r="C1189" s="12">
        <v>539.8</v>
      </c>
      <c r="D1189" s="12">
        <v>4.31</v>
      </c>
      <c r="E1189" s="12">
        <v>0.64</v>
      </c>
      <c r="F1189" s="12">
        <v>50.0</v>
      </c>
      <c r="G1189" s="13">
        <v>44462.71617247685</v>
      </c>
      <c r="H1189" s="14">
        <f>IFERROR(__xludf.DUMMYFUNCTION("SPLIT(G1189, "", "")"),44462.0)</f>
        <v>44462</v>
      </c>
      <c r="I1189" s="15">
        <f>IFERROR(__xludf.DUMMYFUNCTION("""COMPUTED_VALUE"""),0.7161689814814814)</f>
        <v>0.7161689815</v>
      </c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</row>
    <row r="1190">
      <c r="A1190" s="12">
        <v>3.68</v>
      </c>
      <c r="B1190" s="12">
        <v>227.9</v>
      </c>
      <c r="C1190" s="12">
        <v>539.8</v>
      </c>
      <c r="D1190" s="12">
        <v>4.31</v>
      </c>
      <c r="E1190" s="12">
        <v>0.64</v>
      </c>
      <c r="F1190" s="12">
        <v>50.0</v>
      </c>
      <c r="G1190" s="13">
        <v>44462.71627396991</v>
      </c>
      <c r="H1190" s="14">
        <f>IFERROR(__xludf.DUMMYFUNCTION("SPLIT(G1190, "", "")"),44462.0)</f>
        <v>44462</v>
      </c>
      <c r="I1190" s="15">
        <f>IFERROR(__xludf.DUMMYFUNCTION("""COMPUTED_VALUE"""),0.7162731481481481)</f>
        <v>0.7162731481</v>
      </c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</row>
    <row r="1191">
      <c r="A1191" s="12">
        <v>3.68</v>
      </c>
      <c r="B1191" s="12">
        <v>228.0</v>
      </c>
      <c r="C1191" s="12">
        <v>539.8</v>
      </c>
      <c r="D1191" s="12">
        <v>4.31</v>
      </c>
      <c r="E1191" s="12">
        <v>0.64</v>
      </c>
      <c r="F1191" s="12">
        <v>50.0</v>
      </c>
      <c r="G1191" s="13">
        <v>44462.71637809028</v>
      </c>
      <c r="H1191" s="14">
        <f>IFERROR(__xludf.DUMMYFUNCTION("SPLIT(G1191, "", "")"),44462.0)</f>
        <v>44462</v>
      </c>
      <c r="I1191" s="15">
        <f>IFERROR(__xludf.DUMMYFUNCTION("""COMPUTED_VALUE"""),0.7163773148148148)</f>
        <v>0.7163773148</v>
      </c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</row>
    <row r="1192">
      <c r="A1192" s="12">
        <v>3.66</v>
      </c>
      <c r="B1192" s="12">
        <v>227.8</v>
      </c>
      <c r="C1192" s="12">
        <v>540.3</v>
      </c>
      <c r="D1192" s="12">
        <v>4.31</v>
      </c>
      <c r="E1192" s="12">
        <v>0.65</v>
      </c>
      <c r="F1192" s="12">
        <v>50.0</v>
      </c>
      <c r="G1192" s="13">
        <v>44462.71647888889</v>
      </c>
      <c r="H1192" s="14">
        <f>IFERROR(__xludf.DUMMYFUNCTION("SPLIT(G1192, "", "")"),44462.0)</f>
        <v>44462</v>
      </c>
      <c r="I1192" s="15">
        <f>IFERROR(__xludf.DUMMYFUNCTION("""COMPUTED_VALUE"""),0.7164814814814815)</f>
        <v>0.7164814815</v>
      </c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</row>
    <row r="1193">
      <c r="A1193" s="12">
        <v>3.66</v>
      </c>
      <c r="B1193" s="12">
        <v>227.8</v>
      </c>
      <c r="C1193" s="12">
        <v>540.4</v>
      </c>
      <c r="D1193" s="12">
        <v>4.31</v>
      </c>
      <c r="E1193" s="12">
        <v>0.65</v>
      </c>
      <c r="F1193" s="12">
        <v>50.0</v>
      </c>
      <c r="G1193" s="13">
        <v>44462.71657892361</v>
      </c>
      <c r="H1193" s="14">
        <f>IFERROR(__xludf.DUMMYFUNCTION("SPLIT(G1193, "", "")"),44462.0)</f>
        <v>44462</v>
      </c>
      <c r="I1193" s="15">
        <f>IFERROR(__xludf.DUMMYFUNCTION("""COMPUTED_VALUE"""),0.716574074074074)</f>
        <v>0.7165740741</v>
      </c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</row>
    <row r="1194">
      <c r="A1194" s="12">
        <v>3.66</v>
      </c>
      <c r="B1194" s="12">
        <v>227.8</v>
      </c>
      <c r="C1194" s="12">
        <v>540.4</v>
      </c>
      <c r="D1194" s="12">
        <v>4.32</v>
      </c>
      <c r="E1194" s="12">
        <v>0.65</v>
      </c>
      <c r="F1194" s="12">
        <v>50.0</v>
      </c>
      <c r="G1194" s="13">
        <v>44462.71668615741</v>
      </c>
      <c r="H1194" s="14">
        <f>IFERROR(__xludf.DUMMYFUNCTION("SPLIT(G1194, "", "")"),44462.0)</f>
        <v>44462</v>
      </c>
      <c r="I1194" s="15">
        <f>IFERROR(__xludf.DUMMYFUNCTION("""COMPUTED_VALUE"""),0.7166898148148149)</f>
        <v>0.7166898148</v>
      </c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</row>
    <row r="1195">
      <c r="A1195" s="12">
        <v>3.65</v>
      </c>
      <c r="B1195" s="12">
        <v>227.9</v>
      </c>
      <c r="C1195" s="12">
        <v>540.5</v>
      </c>
      <c r="D1195" s="12">
        <v>4.32</v>
      </c>
      <c r="E1195" s="12">
        <v>0.65</v>
      </c>
      <c r="F1195" s="12">
        <v>50.0</v>
      </c>
      <c r="G1195" s="13">
        <v>44462.71679503472</v>
      </c>
      <c r="H1195" s="14">
        <f>IFERROR(__xludf.DUMMYFUNCTION("SPLIT(G1195, "", "")"),44462.0)</f>
        <v>44462</v>
      </c>
      <c r="I1195" s="15">
        <f>IFERROR(__xludf.DUMMYFUNCTION("""COMPUTED_VALUE"""),0.7167939814814814)</f>
        <v>0.7167939815</v>
      </c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</row>
    <row r="1196">
      <c r="A1196" s="12">
        <v>3.65</v>
      </c>
      <c r="B1196" s="12">
        <v>228.0</v>
      </c>
      <c r="C1196" s="12">
        <v>540.5</v>
      </c>
      <c r="D1196" s="12">
        <v>4.32</v>
      </c>
      <c r="E1196" s="12">
        <v>0.65</v>
      </c>
      <c r="F1196" s="12">
        <v>50.0</v>
      </c>
      <c r="G1196" s="13">
        <v>44462.716894247686</v>
      </c>
      <c r="H1196" s="14">
        <f>IFERROR(__xludf.DUMMYFUNCTION("SPLIT(G1196, "", "")"),44462.0)</f>
        <v>44462</v>
      </c>
      <c r="I1196" s="15">
        <f>IFERROR(__xludf.DUMMYFUNCTION("""COMPUTED_VALUE"""),0.7168981481481481)</f>
        <v>0.7168981481</v>
      </c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</row>
    <row r="1197">
      <c r="A1197" s="12">
        <v>3.65</v>
      </c>
      <c r="B1197" s="12">
        <v>227.9</v>
      </c>
      <c r="C1197" s="12">
        <v>540.5</v>
      </c>
      <c r="D1197" s="12">
        <v>4.32</v>
      </c>
      <c r="E1197" s="12">
        <v>0.65</v>
      </c>
      <c r="F1197" s="12">
        <v>50.0</v>
      </c>
      <c r="G1197" s="13">
        <v>44462.71699266204</v>
      </c>
      <c r="H1197" s="14">
        <f>IFERROR(__xludf.DUMMYFUNCTION("SPLIT(G1197, "", "")"),44462.0)</f>
        <v>44462</v>
      </c>
      <c r="I1197" s="15">
        <f>IFERROR(__xludf.DUMMYFUNCTION("""COMPUTED_VALUE"""),0.7169907407407408)</f>
        <v>0.7169907407</v>
      </c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</row>
    <row r="1198">
      <c r="A1198" s="12">
        <v>3.66</v>
      </c>
      <c r="B1198" s="12">
        <v>227.9</v>
      </c>
      <c r="C1198" s="12">
        <v>540.6</v>
      </c>
      <c r="D1198" s="12">
        <v>4.32</v>
      </c>
      <c r="E1198" s="12">
        <v>0.65</v>
      </c>
      <c r="F1198" s="12">
        <v>50.0</v>
      </c>
      <c r="G1198" s="13">
        <v>44462.71709792824</v>
      </c>
      <c r="H1198" s="14">
        <f>IFERROR(__xludf.DUMMYFUNCTION("SPLIT(G1198, "", "")"),44462.0)</f>
        <v>44462</v>
      </c>
      <c r="I1198" s="15">
        <f>IFERROR(__xludf.DUMMYFUNCTION("""COMPUTED_VALUE"""),0.7170949074074074)</f>
        <v>0.7170949074</v>
      </c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</row>
    <row r="1199">
      <c r="A1199" s="12">
        <v>3.66</v>
      </c>
      <c r="B1199" s="12">
        <v>227.9</v>
      </c>
      <c r="C1199" s="12">
        <v>540.7</v>
      </c>
      <c r="D1199" s="12">
        <v>4.32</v>
      </c>
      <c r="E1199" s="12">
        <v>0.65</v>
      </c>
      <c r="F1199" s="12">
        <v>50.0</v>
      </c>
      <c r="G1199" s="13">
        <v>44462.71720565972</v>
      </c>
      <c r="H1199" s="14">
        <f>IFERROR(__xludf.DUMMYFUNCTION("SPLIT(G1199, "", "")"),44462.0)</f>
        <v>44462</v>
      </c>
      <c r="I1199" s="15">
        <f>IFERROR(__xludf.DUMMYFUNCTION("""COMPUTED_VALUE"""),0.7172106481481482)</f>
        <v>0.7172106481</v>
      </c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</row>
    <row r="1200">
      <c r="A1200" s="12">
        <v>3.65</v>
      </c>
      <c r="B1200" s="12">
        <v>227.9</v>
      </c>
      <c r="C1200" s="12">
        <v>540.7</v>
      </c>
      <c r="D1200" s="12">
        <v>4.32</v>
      </c>
      <c r="E1200" s="12">
        <v>0.65</v>
      </c>
      <c r="F1200" s="12">
        <v>50.0</v>
      </c>
      <c r="G1200" s="13">
        <v>44462.717308680556</v>
      </c>
      <c r="H1200" s="14">
        <f>IFERROR(__xludf.DUMMYFUNCTION("SPLIT(G1200, "", "")"),44462.0)</f>
        <v>44462</v>
      </c>
      <c r="I1200" s="15">
        <f>IFERROR(__xludf.DUMMYFUNCTION("""COMPUTED_VALUE"""),0.7173032407407407)</f>
        <v>0.7173032407</v>
      </c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</row>
    <row r="1201">
      <c r="A1201" s="12">
        <v>3.66</v>
      </c>
      <c r="B1201" s="12">
        <v>227.9</v>
      </c>
      <c r="C1201" s="12">
        <v>540.7</v>
      </c>
      <c r="D1201" s="12">
        <v>4.32</v>
      </c>
      <c r="E1201" s="12">
        <v>0.65</v>
      </c>
      <c r="F1201" s="12">
        <v>50.0</v>
      </c>
      <c r="G1201" s="13">
        <v>44462.71741280092</v>
      </c>
      <c r="H1201" s="14">
        <f>IFERROR(__xludf.DUMMYFUNCTION("SPLIT(G1201, "", "")"),44462.0)</f>
        <v>44462</v>
      </c>
      <c r="I1201" s="15">
        <f>IFERROR(__xludf.DUMMYFUNCTION("""COMPUTED_VALUE"""),0.7174074074074074)</f>
        <v>0.7174074074</v>
      </c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</row>
    <row r="1202">
      <c r="A1202" s="12">
        <v>3.65</v>
      </c>
      <c r="B1202" s="12">
        <v>227.9</v>
      </c>
      <c r="C1202" s="12">
        <v>540.8</v>
      </c>
      <c r="D1202" s="12">
        <v>4.33</v>
      </c>
      <c r="E1202" s="12">
        <v>0.65</v>
      </c>
      <c r="F1202" s="12">
        <v>50.0</v>
      </c>
      <c r="G1202" s="13">
        <v>44462.7175169213</v>
      </c>
      <c r="H1202" s="14">
        <f>IFERROR(__xludf.DUMMYFUNCTION("SPLIT(G1202, "", "")"),44462.0)</f>
        <v>44462</v>
      </c>
      <c r="I1202" s="15">
        <f>IFERROR(__xludf.DUMMYFUNCTION("""COMPUTED_VALUE"""),0.7175115740740741)</f>
        <v>0.7175115741</v>
      </c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</row>
    <row r="1203">
      <c r="A1203" s="12">
        <v>3.66</v>
      </c>
      <c r="B1203" s="12">
        <v>227.9</v>
      </c>
      <c r="C1203" s="12">
        <v>540.8</v>
      </c>
      <c r="D1203" s="12">
        <v>4.33</v>
      </c>
      <c r="E1203" s="12">
        <v>0.65</v>
      </c>
      <c r="F1203" s="12">
        <v>50.0</v>
      </c>
      <c r="G1203" s="13">
        <v>44462.71762045139</v>
      </c>
      <c r="H1203" s="14">
        <f>IFERROR(__xludf.DUMMYFUNCTION("SPLIT(G1203, "", "")"),44462.0)</f>
        <v>44462</v>
      </c>
      <c r="I1203" s="15">
        <f>IFERROR(__xludf.DUMMYFUNCTION("""COMPUTED_VALUE"""),0.7176157407407407)</f>
        <v>0.7176157407</v>
      </c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</row>
    <row r="1204">
      <c r="A1204" s="12">
        <v>3.66</v>
      </c>
      <c r="B1204" s="12">
        <v>227.8</v>
      </c>
      <c r="C1204" s="12">
        <v>540.9</v>
      </c>
      <c r="D1204" s="12">
        <v>4.33</v>
      </c>
      <c r="E1204" s="12">
        <v>0.65</v>
      </c>
      <c r="F1204" s="12">
        <v>50.0</v>
      </c>
      <c r="G1204" s="13">
        <v>44462.71775211806</v>
      </c>
      <c r="H1204" s="14">
        <f>IFERROR(__xludf.DUMMYFUNCTION("SPLIT(G1204, "", "")"),44462.0)</f>
        <v>44462</v>
      </c>
      <c r="I1204" s="15">
        <f>IFERROR(__xludf.DUMMYFUNCTION("""COMPUTED_VALUE"""),0.7177546296296297)</f>
        <v>0.7177546296</v>
      </c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</row>
    <row r="1205">
      <c r="A1205" s="12">
        <v>3.65</v>
      </c>
      <c r="B1205" s="12">
        <v>227.9</v>
      </c>
      <c r="C1205" s="12">
        <v>540.9</v>
      </c>
      <c r="D1205" s="12">
        <v>4.33</v>
      </c>
      <c r="E1205" s="12">
        <v>0.65</v>
      </c>
      <c r="F1205" s="12">
        <v>50.0</v>
      </c>
      <c r="G1205" s="13">
        <v>44462.71785958333</v>
      </c>
      <c r="H1205" s="14">
        <f>IFERROR(__xludf.DUMMYFUNCTION("SPLIT(G1205, "", "")"),44462.0)</f>
        <v>44462</v>
      </c>
      <c r="I1205" s="15">
        <f>IFERROR(__xludf.DUMMYFUNCTION("""COMPUTED_VALUE"""),0.7178587962962963)</f>
        <v>0.7178587963</v>
      </c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</row>
    <row r="1206">
      <c r="A1206" s="12">
        <v>3.65</v>
      </c>
      <c r="B1206" s="12">
        <v>227.9</v>
      </c>
      <c r="C1206" s="12">
        <v>541.0</v>
      </c>
      <c r="D1206" s="12">
        <v>4.33</v>
      </c>
      <c r="E1206" s="12">
        <v>0.65</v>
      </c>
      <c r="F1206" s="12">
        <v>50.0</v>
      </c>
      <c r="G1206" s="13">
        <v>44462.71796357639</v>
      </c>
      <c r="H1206" s="14">
        <f>IFERROR(__xludf.DUMMYFUNCTION("SPLIT(G1206, "", "")"),44462.0)</f>
        <v>44462</v>
      </c>
      <c r="I1206" s="15">
        <f>IFERROR(__xludf.DUMMYFUNCTION("""COMPUTED_VALUE"""),0.7179629629629629)</f>
        <v>0.717962963</v>
      </c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</row>
    <row r="1207">
      <c r="A1207" s="12">
        <v>3.65</v>
      </c>
      <c r="B1207" s="12">
        <v>227.9</v>
      </c>
      <c r="C1207" s="12">
        <v>541.0</v>
      </c>
      <c r="D1207" s="12">
        <v>4.33</v>
      </c>
      <c r="E1207" s="12">
        <v>0.65</v>
      </c>
      <c r="F1207" s="12">
        <v>50.0</v>
      </c>
      <c r="G1207" s="13">
        <v>44462.718069421295</v>
      </c>
      <c r="H1207" s="14">
        <f>IFERROR(__xludf.DUMMYFUNCTION("SPLIT(G1207, "", "")"),44462.0)</f>
        <v>44462</v>
      </c>
      <c r="I1207" s="15">
        <f>IFERROR(__xludf.DUMMYFUNCTION("""COMPUTED_VALUE"""),0.7180671296296296)</f>
        <v>0.7180671296</v>
      </c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</row>
    <row r="1208">
      <c r="A1208" s="12">
        <v>3.65</v>
      </c>
      <c r="B1208" s="12">
        <v>227.9</v>
      </c>
      <c r="C1208" s="12">
        <v>541.0</v>
      </c>
      <c r="D1208" s="12">
        <v>4.33</v>
      </c>
      <c r="E1208" s="12">
        <v>0.65</v>
      </c>
      <c r="F1208" s="12">
        <v>49.9</v>
      </c>
      <c r="G1208" s="13">
        <v>44462.71817600694</v>
      </c>
      <c r="H1208" s="14">
        <f>IFERROR(__xludf.DUMMYFUNCTION("SPLIT(G1208, "", "")"),44462.0)</f>
        <v>44462</v>
      </c>
      <c r="I1208" s="15">
        <f>IFERROR(__xludf.DUMMYFUNCTION("""COMPUTED_VALUE"""),0.7181712962962963)</f>
        <v>0.7181712963</v>
      </c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</row>
    <row r="1209">
      <c r="A1209" s="12">
        <v>3.66</v>
      </c>
      <c r="B1209" s="12">
        <v>228.0</v>
      </c>
      <c r="C1209" s="12">
        <v>541.2</v>
      </c>
      <c r="D1209" s="12">
        <v>4.34</v>
      </c>
      <c r="E1209" s="12">
        <v>0.65</v>
      </c>
      <c r="F1209" s="12">
        <v>50.0</v>
      </c>
      <c r="G1209" s="13">
        <v>44462.71828372685</v>
      </c>
      <c r="H1209" s="14">
        <f>IFERROR(__xludf.DUMMYFUNCTION("SPLIT(G1209, "", "")"),44462.0)</f>
        <v>44462</v>
      </c>
      <c r="I1209" s="15">
        <f>IFERROR(__xludf.DUMMYFUNCTION("""COMPUTED_VALUE"""),0.718287037037037)</f>
        <v>0.718287037</v>
      </c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</row>
    <row r="1210">
      <c r="A1210" s="12">
        <v>3.66</v>
      </c>
      <c r="B1210" s="12">
        <v>228.0</v>
      </c>
      <c r="C1210" s="12">
        <v>541.2</v>
      </c>
      <c r="D1210" s="12">
        <v>4.34</v>
      </c>
      <c r="E1210" s="12">
        <v>0.65</v>
      </c>
      <c r="F1210" s="12">
        <v>50.0</v>
      </c>
      <c r="G1210" s="13">
        <v>44462.71838686343</v>
      </c>
      <c r="H1210" s="14">
        <f>IFERROR(__xludf.DUMMYFUNCTION("SPLIT(G1210, "", "")"),44462.0)</f>
        <v>44462</v>
      </c>
      <c r="I1210" s="15">
        <f>IFERROR(__xludf.DUMMYFUNCTION("""COMPUTED_VALUE"""),0.7183912037037037)</f>
        <v>0.7183912037</v>
      </c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</row>
    <row r="1211">
      <c r="A1211" s="12">
        <v>3.66</v>
      </c>
      <c r="B1211" s="12">
        <v>228.0</v>
      </c>
      <c r="C1211" s="12">
        <v>541.3</v>
      </c>
      <c r="D1211" s="12">
        <v>4.34</v>
      </c>
      <c r="E1211" s="12">
        <v>0.65</v>
      </c>
      <c r="F1211" s="12">
        <v>50.0</v>
      </c>
      <c r="G1211" s="13">
        <v>44462.71849082176</v>
      </c>
      <c r="H1211" s="14">
        <f>IFERROR(__xludf.DUMMYFUNCTION("SPLIT(G1211, "", "")"),44462.0)</f>
        <v>44462</v>
      </c>
      <c r="I1211" s="15">
        <f>IFERROR(__xludf.DUMMYFUNCTION("""COMPUTED_VALUE"""),0.7184953703703704)</f>
        <v>0.7184953704</v>
      </c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</row>
    <row r="1212">
      <c r="A1212" s="12">
        <v>3.66</v>
      </c>
      <c r="B1212" s="12">
        <v>228.0</v>
      </c>
      <c r="C1212" s="12">
        <v>541.4</v>
      </c>
      <c r="D1212" s="12">
        <v>4.34</v>
      </c>
      <c r="E1212" s="12">
        <v>0.65</v>
      </c>
      <c r="F1212" s="12">
        <v>50.0</v>
      </c>
      <c r="G1212" s="13">
        <v>44462.71859414352</v>
      </c>
      <c r="H1212" s="14">
        <f>IFERROR(__xludf.DUMMYFUNCTION("SPLIT(G1212, "", "")"),44462.0)</f>
        <v>44462</v>
      </c>
      <c r="I1212" s="15">
        <f>IFERROR(__xludf.DUMMYFUNCTION("""COMPUTED_VALUE"""),0.718599537037037)</f>
        <v>0.718599537</v>
      </c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</row>
    <row r="1213">
      <c r="A1213" s="12">
        <v>3.67</v>
      </c>
      <c r="B1213" s="12">
        <v>227.9</v>
      </c>
      <c r="C1213" s="12">
        <v>541.5</v>
      </c>
      <c r="D1213" s="12">
        <v>4.34</v>
      </c>
      <c r="E1213" s="12">
        <v>0.65</v>
      </c>
      <c r="F1213" s="12">
        <v>50.0</v>
      </c>
      <c r="G1213" s="13">
        <v>44462.71870104167</v>
      </c>
      <c r="H1213" s="14">
        <f>IFERROR(__xludf.DUMMYFUNCTION("SPLIT(G1213, "", "")"),44462.0)</f>
        <v>44462</v>
      </c>
      <c r="I1213" s="15">
        <f>IFERROR(__xludf.DUMMYFUNCTION("""COMPUTED_VALUE"""),0.7187037037037037)</f>
        <v>0.7187037037</v>
      </c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</row>
    <row r="1214">
      <c r="A1214" s="12">
        <v>3.66</v>
      </c>
      <c r="B1214" s="12">
        <v>227.7</v>
      </c>
      <c r="C1214" s="12">
        <v>541.5</v>
      </c>
      <c r="D1214" s="12">
        <v>4.34</v>
      </c>
      <c r="E1214" s="12">
        <v>0.65</v>
      </c>
      <c r="F1214" s="12">
        <v>50.0</v>
      </c>
      <c r="G1214" s="13">
        <v>44462.71880422454</v>
      </c>
      <c r="H1214" s="14">
        <f>IFERROR(__xludf.DUMMYFUNCTION("SPLIT(G1214, "", "")"),44462.0)</f>
        <v>44462</v>
      </c>
      <c r="I1214" s="15">
        <f>IFERROR(__xludf.DUMMYFUNCTION("""COMPUTED_VALUE"""),0.7188078703703704)</f>
        <v>0.7188078704</v>
      </c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</row>
    <row r="1215">
      <c r="A1215" s="12">
        <v>3.66</v>
      </c>
      <c r="B1215" s="12">
        <v>227.7</v>
      </c>
      <c r="C1215" s="12">
        <v>541.4</v>
      </c>
      <c r="D1215" s="12">
        <v>4.34</v>
      </c>
      <c r="E1215" s="12">
        <v>0.65</v>
      </c>
      <c r="F1215" s="12">
        <v>50.0</v>
      </c>
      <c r="G1215" s="13">
        <v>44462.71890748842</v>
      </c>
      <c r="H1215" s="14">
        <f>IFERROR(__xludf.DUMMYFUNCTION("SPLIT(G1215, "", "")"),44462.0)</f>
        <v>44462</v>
      </c>
      <c r="I1215" s="15">
        <f>IFERROR(__xludf.DUMMYFUNCTION("""COMPUTED_VALUE"""),0.718912037037037)</f>
        <v>0.718912037</v>
      </c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</row>
    <row r="1216">
      <c r="A1216" s="12">
        <v>3.66</v>
      </c>
      <c r="B1216" s="12">
        <v>227.8</v>
      </c>
      <c r="C1216" s="12">
        <v>541.5</v>
      </c>
      <c r="D1216" s="12">
        <v>4.34</v>
      </c>
      <c r="E1216" s="12">
        <v>0.65</v>
      </c>
      <c r="F1216" s="12">
        <v>50.0</v>
      </c>
      <c r="G1216" s="13">
        <v>44462.719013587965</v>
      </c>
      <c r="H1216" s="14">
        <f>IFERROR(__xludf.DUMMYFUNCTION("SPLIT(G1216, "", "")"),44462.0)</f>
        <v>44462</v>
      </c>
      <c r="I1216" s="15">
        <f>IFERROR(__xludf.DUMMYFUNCTION("""COMPUTED_VALUE"""),0.7190162037037037)</f>
        <v>0.7190162037</v>
      </c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</row>
    <row r="1217">
      <c r="A1217" s="12">
        <v>3.67</v>
      </c>
      <c r="B1217" s="12">
        <v>227.8</v>
      </c>
      <c r="C1217" s="12">
        <v>541.6</v>
      </c>
      <c r="D1217" s="12">
        <v>4.35</v>
      </c>
      <c r="E1217" s="12">
        <v>0.65</v>
      </c>
      <c r="F1217" s="12">
        <v>50.0</v>
      </c>
      <c r="G1217" s="13">
        <v>44462.71911628472</v>
      </c>
      <c r="H1217" s="14">
        <f>IFERROR(__xludf.DUMMYFUNCTION("SPLIT(G1217, "", "")"),44462.0)</f>
        <v>44462</v>
      </c>
      <c r="I1217" s="15">
        <f>IFERROR(__xludf.DUMMYFUNCTION("""COMPUTED_VALUE"""),0.7191203703703704)</f>
        <v>0.7191203704</v>
      </c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</row>
    <row r="1218">
      <c r="A1218" s="12">
        <v>3.66</v>
      </c>
      <c r="B1218" s="12">
        <v>227.7</v>
      </c>
      <c r="C1218" s="12">
        <v>541.6</v>
      </c>
      <c r="D1218" s="12">
        <v>4.35</v>
      </c>
      <c r="E1218" s="12">
        <v>0.65</v>
      </c>
      <c r="F1218" s="12">
        <v>50.0</v>
      </c>
      <c r="G1218" s="13">
        <v>44462.719219872684</v>
      </c>
      <c r="H1218" s="14">
        <f>IFERROR(__xludf.DUMMYFUNCTION("SPLIT(G1218, "", "")"),44462.0)</f>
        <v>44462</v>
      </c>
      <c r="I1218" s="15">
        <f>IFERROR(__xludf.DUMMYFUNCTION("""COMPUTED_VALUE"""),0.719224537037037)</f>
        <v>0.719224537</v>
      </c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</row>
    <row r="1219">
      <c r="A1219" s="12">
        <v>3.67</v>
      </c>
      <c r="B1219" s="12">
        <v>227.6</v>
      </c>
      <c r="C1219" s="12">
        <v>541.7</v>
      </c>
      <c r="D1219" s="12">
        <v>4.35</v>
      </c>
      <c r="E1219" s="12">
        <v>0.65</v>
      </c>
      <c r="F1219" s="12">
        <v>50.0</v>
      </c>
      <c r="G1219" s="13">
        <v>44462.71932679398</v>
      </c>
      <c r="H1219" s="14">
        <f>IFERROR(__xludf.DUMMYFUNCTION("SPLIT(G1219, "", "")"),44462.0)</f>
        <v>44462</v>
      </c>
      <c r="I1219" s="15">
        <f>IFERROR(__xludf.DUMMYFUNCTION("""COMPUTED_VALUE"""),0.7193287037037037)</f>
        <v>0.7193287037</v>
      </c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</row>
    <row r="1220">
      <c r="A1220" s="12">
        <v>3.66</v>
      </c>
      <c r="B1220" s="12">
        <v>227.8</v>
      </c>
      <c r="C1220" s="12">
        <v>541.6</v>
      </c>
      <c r="D1220" s="12">
        <v>4.35</v>
      </c>
      <c r="E1220" s="12">
        <v>0.65</v>
      </c>
      <c r="F1220" s="12">
        <v>50.0</v>
      </c>
      <c r="G1220" s="13">
        <v>44462.71943881945</v>
      </c>
      <c r="H1220" s="14">
        <f>IFERROR(__xludf.DUMMYFUNCTION("SPLIT(G1220, "", "")"),44462.0)</f>
        <v>44462</v>
      </c>
      <c r="I1220" s="15">
        <f>IFERROR(__xludf.DUMMYFUNCTION("""COMPUTED_VALUE"""),0.7194444444444444)</f>
        <v>0.7194444444</v>
      </c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</row>
    <row r="1221">
      <c r="A1221" s="12">
        <v>3.66</v>
      </c>
      <c r="B1221" s="12">
        <v>227.7</v>
      </c>
      <c r="C1221" s="12">
        <v>541.7</v>
      </c>
      <c r="D1221" s="12">
        <v>4.35</v>
      </c>
      <c r="E1221" s="12">
        <v>0.65</v>
      </c>
      <c r="F1221" s="12">
        <v>50.0</v>
      </c>
      <c r="G1221" s="13">
        <v>44462.71954465278</v>
      </c>
      <c r="H1221" s="14">
        <f>IFERROR(__xludf.DUMMYFUNCTION("SPLIT(G1221, "", "")"),44462.0)</f>
        <v>44462</v>
      </c>
      <c r="I1221" s="15">
        <f>IFERROR(__xludf.DUMMYFUNCTION("""COMPUTED_VALUE"""),0.7195486111111111)</f>
        <v>0.7195486111</v>
      </c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</row>
    <row r="1222">
      <c r="A1222" s="12">
        <v>3.66</v>
      </c>
      <c r="B1222" s="12">
        <v>227.8</v>
      </c>
      <c r="C1222" s="12">
        <v>541.7</v>
      </c>
      <c r="D1222" s="12">
        <v>4.35</v>
      </c>
      <c r="E1222" s="12">
        <v>0.65</v>
      </c>
      <c r="F1222" s="12">
        <v>50.0</v>
      </c>
      <c r="G1222" s="13">
        <v>44462.71990689815</v>
      </c>
      <c r="H1222" s="14">
        <f>IFERROR(__xludf.DUMMYFUNCTION("SPLIT(G1222, "", "")"),44462.0)</f>
        <v>44462</v>
      </c>
      <c r="I1222" s="15">
        <f>IFERROR(__xludf.DUMMYFUNCTION("""COMPUTED_VALUE"""),0.7199074074074074)</f>
        <v>0.7199074074</v>
      </c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</row>
    <row r="1223">
      <c r="A1223" s="12">
        <v>3.67</v>
      </c>
      <c r="B1223" s="12">
        <v>227.6</v>
      </c>
      <c r="C1223" s="12">
        <v>542.0</v>
      </c>
      <c r="D1223" s="12">
        <v>4.36</v>
      </c>
      <c r="E1223" s="12">
        <v>0.65</v>
      </c>
      <c r="F1223" s="12">
        <v>50.0</v>
      </c>
      <c r="G1223" s="13">
        <v>44462.72002822917</v>
      </c>
      <c r="H1223" s="14">
        <f>IFERROR(__xludf.DUMMYFUNCTION("SPLIT(G1223, "", "")"),44462.0)</f>
        <v>44462</v>
      </c>
      <c r="I1223" s="15">
        <f>IFERROR(__xludf.DUMMYFUNCTION("""COMPUTED_VALUE"""),0.7200231481481482)</f>
        <v>0.7200231481</v>
      </c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</row>
    <row r="1224">
      <c r="A1224" s="12">
        <v>3.68</v>
      </c>
      <c r="B1224" s="12">
        <v>227.6</v>
      </c>
      <c r="C1224" s="12">
        <v>542.0</v>
      </c>
      <c r="D1224" s="12">
        <v>4.36</v>
      </c>
      <c r="E1224" s="12">
        <v>0.65</v>
      </c>
      <c r="F1224" s="12">
        <v>50.0</v>
      </c>
      <c r="G1224" s="13">
        <v>44462.72012989583</v>
      </c>
      <c r="H1224" s="14">
        <f>IFERROR(__xludf.DUMMYFUNCTION("SPLIT(G1224, "", "")"),44462.0)</f>
        <v>44462</v>
      </c>
      <c r="I1224" s="15">
        <f>IFERROR(__xludf.DUMMYFUNCTION("""COMPUTED_VALUE"""),0.7201273148148148)</f>
        <v>0.7201273148</v>
      </c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</row>
    <row r="1225">
      <c r="A1225" s="12">
        <v>3.67</v>
      </c>
      <c r="B1225" s="12">
        <v>227.6</v>
      </c>
      <c r="C1225" s="12">
        <v>542.1</v>
      </c>
      <c r="D1225" s="12">
        <v>4.36</v>
      </c>
      <c r="E1225" s="12">
        <v>0.65</v>
      </c>
      <c r="F1225" s="12">
        <v>50.0</v>
      </c>
      <c r="G1225" s="13">
        <v>44462.72023460648</v>
      </c>
      <c r="H1225" s="14">
        <f>IFERROR(__xludf.DUMMYFUNCTION("SPLIT(G1225, "", "")"),44462.0)</f>
        <v>44462</v>
      </c>
      <c r="I1225" s="15">
        <f>IFERROR(__xludf.DUMMYFUNCTION("""COMPUTED_VALUE"""),0.7202314814814815)</f>
        <v>0.7202314815</v>
      </c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</row>
    <row r="1226">
      <c r="A1226" s="12">
        <v>3.68</v>
      </c>
      <c r="B1226" s="12">
        <v>227.5</v>
      </c>
      <c r="C1226" s="12">
        <v>542.1</v>
      </c>
      <c r="D1226" s="12">
        <v>4.36</v>
      </c>
      <c r="E1226" s="12">
        <v>0.65</v>
      </c>
      <c r="F1226" s="12">
        <v>50.0</v>
      </c>
      <c r="G1226" s="13">
        <v>44462.720338217594</v>
      </c>
      <c r="H1226" s="14">
        <f>IFERROR(__xludf.DUMMYFUNCTION("SPLIT(G1226, "", "")"),44462.0)</f>
        <v>44462</v>
      </c>
      <c r="I1226" s="15">
        <f>IFERROR(__xludf.DUMMYFUNCTION("""COMPUTED_VALUE"""),0.7203356481481481)</f>
        <v>0.7203356481</v>
      </c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</row>
    <row r="1227">
      <c r="A1227" s="12">
        <v>3.67</v>
      </c>
      <c r="B1227" s="12">
        <v>227.7</v>
      </c>
      <c r="C1227" s="12">
        <v>542.1</v>
      </c>
      <c r="D1227" s="12">
        <v>4.36</v>
      </c>
      <c r="E1227" s="12">
        <v>0.65</v>
      </c>
      <c r="F1227" s="12">
        <v>50.0</v>
      </c>
      <c r="G1227" s="13">
        <v>44462.72044138889</v>
      </c>
      <c r="H1227" s="14">
        <f>IFERROR(__xludf.DUMMYFUNCTION("SPLIT(G1227, "", "")"),44462.0)</f>
        <v>44462</v>
      </c>
      <c r="I1227" s="15">
        <f>IFERROR(__xludf.DUMMYFUNCTION("""COMPUTED_VALUE"""),0.7204398148148148)</f>
        <v>0.7204398148</v>
      </c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</row>
    <row r="1228">
      <c r="A1228" s="12">
        <v>3.67</v>
      </c>
      <c r="B1228" s="12">
        <v>227.7</v>
      </c>
      <c r="C1228" s="12">
        <v>542.1</v>
      </c>
      <c r="D1228" s="12">
        <v>4.36</v>
      </c>
      <c r="E1228" s="12">
        <v>0.65</v>
      </c>
      <c r="F1228" s="12">
        <v>50.0</v>
      </c>
      <c r="G1228" s="13">
        <v>44462.72054466435</v>
      </c>
      <c r="H1228" s="14">
        <f>IFERROR(__xludf.DUMMYFUNCTION("SPLIT(G1228, "", "")"),44462.0)</f>
        <v>44462</v>
      </c>
      <c r="I1228" s="15">
        <f>IFERROR(__xludf.DUMMYFUNCTION("""COMPUTED_VALUE"""),0.7205439814814815)</f>
        <v>0.7205439815</v>
      </c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</row>
    <row r="1229">
      <c r="A1229" s="12">
        <v>3.67</v>
      </c>
      <c r="B1229" s="12">
        <v>227.6</v>
      </c>
      <c r="C1229" s="12">
        <v>542.1</v>
      </c>
      <c r="D1229" s="12">
        <v>4.37</v>
      </c>
      <c r="E1229" s="12">
        <v>0.65</v>
      </c>
      <c r="F1229" s="12">
        <v>50.0</v>
      </c>
      <c r="G1229" s="13">
        <v>44462.72064339121</v>
      </c>
      <c r="H1229" s="14">
        <f>IFERROR(__xludf.DUMMYFUNCTION("SPLIT(G1229, "", "")"),44462.0)</f>
        <v>44462</v>
      </c>
      <c r="I1229" s="15">
        <f>IFERROR(__xludf.DUMMYFUNCTION("""COMPUTED_VALUE"""),0.7206481481481481)</f>
        <v>0.7206481481</v>
      </c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</row>
    <row r="1230">
      <c r="A1230" s="12">
        <v>3.67</v>
      </c>
      <c r="B1230" s="12">
        <v>227.7</v>
      </c>
      <c r="C1230" s="12">
        <v>542.1</v>
      </c>
      <c r="D1230" s="12">
        <v>4.37</v>
      </c>
      <c r="E1230" s="12">
        <v>0.65</v>
      </c>
      <c r="F1230" s="12">
        <v>50.0</v>
      </c>
      <c r="G1230" s="13">
        <v>44462.72074574074</v>
      </c>
      <c r="H1230" s="14">
        <f>IFERROR(__xludf.DUMMYFUNCTION("SPLIT(G1230, "", "")"),44462.0)</f>
        <v>44462</v>
      </c>
      <c r="I1230" s="15">
        <f>IFERROR(__xludf.DUMMYFUNCTION("""COMPUTED_VALUE"""),0.7207407407407408)</f>
        <v>0.7207407407</v>
      </c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</row>
    <row r="1231">
      <c r="A1231" s="12">
        <v>3.67</v>
      </c>
      <c r="B1231" s="12">
        <v>227.6</v>
      </c>
      <c r="C1231" s="12">
        <v>542.1</v>
      </c>
      <c r="D1231" s="12">
        <v>4.37</v>
      </c>
      <c r="E1231" s="12">
        <v>0.65</v>
      </c>
      <c r="F1231" s="12">
        <v>49.9</v>
      </c>
      <c r="G1231" s="13">
        <v>44462.72085226852</v>
      </c>
      <c r="H1231" s="14">
        <f>IFERROR(__xludf.DUMMYFUNCTION("SPLIT(G1231, "", "")"),44462.0)</f>
        <v>44462</v>
      </c>
      <c r="I1231" s="15">
        <f>IFERROR(__xludf.DUMMYFUNCTION("""COMPUTED_VALUE"""),0.7208564814814815)</f>
        <v>0.7208564815</v>
      </c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</row>
    <row r="1232">
      <c r="A1232" s="12">
        <v>3.66</v>
      </c>
      <c r="B1232" s="12">
        <v>228.0</v>
      </c>
      <c r="C1232" s="12">
        <v>542.2</v>
      </c>
      <c r="D1232" s="12">
        <v>4.37</v>
      </c>
      <c r="E1232" s="12">
        <v>0.65</v>
      </c>
      <c r="F1232" s="12">
        <v>49.9</v>
      </c>
      <c r="G1232" s="13">
        <v>44462.72095495371</v>
      </c>
      <c r="H1232" s="14">
        <f>IFERROR(__xludf.DUMMYFUNCTION("SPLIT(G1232, "", "")"),44462.0)</f>
        <v>44462</v>
      </c>
      <c r="I1232" s="15">
        <f>IFERROR(__xludf.DUMMYFUNCTION("""COMPUTED_VALUE"""),0.7209606481481482)</f>
        <v>0.7209606481</v>
      </c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</row>
    <row r="1233">
      <c r="A1233" s="12">
        <v>3.66</v>
      </c>
      <c r="B1233" s="12">
        <v>228.1</v>
      </c>
      <c r="C1233" s="12">
        <v>542.3</v>
      </c>
      <c r="D1233" s="12">
        <v>4.37</v>
      </c>
      <c r="E1233" s="12">
        <v>0.65</v>
      </c>
      <c r="F1233" s="12">
        <v>49.9</v>
      </c>
      <c r="G1233" s="13">
        <v>44462.7210565162</v>
      </c>
      <c r="H1233" s="14">
        <f>IFERROR(__xludf.DUMMYFUNCTION("SPLIT(G1233, "", "")"),44462.0)</f>
        <v>44462</v>
      </c>
      <c r="I1233" s="15">
        <f>IFERROR(__xludf.DUMMYFUNCTION("""COMPUTED_VALUE"""),0.7210532407407407)</f>
        <v>0.7210532407</v>
      </c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</row>
    <row r="1234">
      <c r="A1234" s="12">
        <v>3.65</v>
      </c>
      <c r="B1234" s="12">
        <v>228.2</v>
      </c>
      <c r="C1234" s="12">
        <v>542.3</v>
      </c>
      <c r="D1234" s="12">
        <v>4.37</v>
      </c>
      <c r="E1234" s="12">
        <v>0.65</v>
      </c>
      <c r="F1234" s="12">
        <v>49.9</v>
      </c>
      <c r="G1234" s="13">
        <v>44462.72116056713</v>
      </c>
      <c r="H1234" s="14">
        <f>IFERROR(__xludf.DUMMYFUNCTION("SPLIT(G1234, "", "")"),44462.0)</f>
        <v>44462</v>
      </c>
      <c r="I1234" s="15">
        <f>IFERROR(__xludf.DUMMYFUNCTION("""COMPUTED_VALUE"""),0.7211574074074074)</f>
        <v>0.7211574074</v>
      </c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</row>
    <row r="1235">
      <c r="A1235" s="12">
        <v>3.66</v>
      </c>
      <c r="B1235" s="12">
        <v>228.1</v>
      </c>
      <c r="C1235" s="12">
        <v>542.4</v>
      </c>
      <c r="D1235" s="12">
        <v>4.38</v>
      </c>
      <c r="E1235" s="12">
        <v>0.65</v>
      </c>
      <c r="F1235" s="12">
        <v>50.0</v>
      </c>
      <c r="G1235" s="13">
        <v>44462.72126427083</v>
      </c>
      <c r="H1235" s="14">
        <f>IFERROR(__xludf.DUMMYFUNCTION("SPLIT(G1235, "", "")"),44462.0)</f>
        <v>44462</v>
      </c>
      <c r="I1235" s="15">
        <f>IFERROR(__xludf.DUMMYFUNCTION("""COMPUTED_VALUE"""),0.7212615740740741)</f>
        <v>0.7212615741</v>
      </c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</row>
    <row r="1236">
      <c r="A1236" s="12">
        <v>3.66</v>
      </c>
      <c r="B1236" s="12">
        <v>228.2</v>
      </c>
      <c r="C1236" s="12">
        <v>542.5</v>
      </c>
      <c r="D1236" s="12">
        <v>4.38</v>
      </c>
      <c r="E1236" s="12">
        <v>0.65</v>
      </c>
      <c r="F1236" s="12">
        <v>50.0</v>
      </c>
      <c r="G1236" s="13">
        <v>44462.72136605324</v>
      </c>
      <c r="H1236" s="14">
        <f>IFERROR(__xludf.DUMMYFUNCTION("SPLIT(G1236, "", "")"),44462.0)</f>
        <v>44462</v>
      </c>
      <c r="I1236" s="15">
        <f>IFERROR(__xludf.DUMMYFUNCTION("""COMPUTED_VALUE"""),0.7213657407407408)</f>
        <v>0.7213657407</v>
      </c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</row>
    <row r="1237">
      <c r="A1237" s="12">
        <v>3.66</v>
      </c>
      <c r="B1237" s="12">
        <v>228.3</v>
      </c>
      <c r="C1237" s="12">
        <v>542.4</v>
      </c>
      <c r="D1237" s="12">
        <v>4.38</v>
      </c>
      <c r="E1237" s="12">
        <v>0.65</v>
      </c>
      <c r="F1237" s="12">
        <v>50.0</v>
      </c>
      <c r="G1237" s="13">
        <v>44462.721467511576</v>
      </c>
      <c r="H1237" s="14">
        <f>IFERROR(__xludf.DUMMYFUNCTION("SPLIT(G1237, "", "")"),44462.0)</f>
        <v>44462</v>
      </c>
      <c r="I1237" s="15">
        <f>IFERROR(__xludf.DUMMYFUNCTION("""COMPUTED_VALUE"""),0.7214699074074075)</f>
        <v>0.7214699074</v>
      </c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</row>
    <row r="1238">
      <c r="A1238" s="12">
        <v>3.65</v>
      </c>
      <c r="B1238" s="12">
        <v>228.3</v>
      </c>
      <c r="C1238" s="12">
        <v>542.5</v>
      </c>
      <c r="D1238" s="12">
        <v>4.38</v>
      </c>
      <c r="E1238" s="12">
        <v>0.65</v>
      </c>
      <c r="F1238" s="12">
        <v>50.0</v>
      </c>
      <c r="G1238" s="13">
        <v>44462.7215693287</v>
      </c>
      <c r="H1238" s="14">
        <f>IFERROR(__xludf.DUMMYFUNCTION("SPLIT(G1238, "", "")"),44462.0)</f>
        <v>44462</v>
      </c>
      <c r="I1238" s="15">
        <f>IFERROR(__xludf.DUMMYFUNCTION("""COMPUTED_VALUE"""),0.721574074074074)</f>
        <v>0.7215740741</v>
      </c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</row>
    <row r="1239">
      <c r="A1239" s="12">
        <v>3.65</v>
      </c>
      <c r="B1239" s="12">
        <v>228.3</v>
      </c>
      <c r="C1239" s="12">
        <v>542.6</v>
      </c>
      <c r="D1239" s="12">
        <v>4.38</v>
      </c>
      <c r="E1239" s="12">
        <v>0.65</v>
      </c>
      <c r="F1239" s="12">
        <v>50.0</v>
      </c>
      <c r="G1239" s="13">
        <v>44462.72167252315</v>
      </c>
      <c r="H1239" s="14">
        <f>IFERROR(__xludf.DUMMYFUNCTION("SPLIT(G1239, "", "")"),44462.0)</f>
        <v>44462</v>
      </c>
      <c r="I1239" s="15">
        <f>IFERROR(__xludf.DUMMYFUNCTION("""COMPUTED_VALUE"""),0.7216782407407407)</f>
        <v>0.7216782407</v>
      </c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</row>
    <row r="1240">
      <c r="A1240" s="12">
        <v>3.65</v>
      </c>
      <c r="B1240" s="12">
        <v>228.3</v>
      </c>
      <c r="C1240" s="12">
        <v>542.6</v>
      </c>
      <c r="D1240" s="12">
        <v>4.38</v>
      </c>
      <c r="E1240" s="12">
        <v>0.65</v>
      </c>
      <c r="F1240" s="12">
        <v>50.0</v>
      </c>
      <c r="G1240" s="13">
        <v>44462.72177467593</v>
      </c>
      <c r="H1240" s="14">
        <f>IFERROR(__xludf.DUMMYFUNCTION("SPLIT(G1240, "", "")"),44462.0)</f>
        <v>44462</v>
      </c>
      <c r="I1240" s="15">
        <f>IFERROR(__xludf.DUMMYFUNCTION("""COMPUTED_VALUE"""),0.7217708333333334)</f>
        <v>0.7217708333</v>
      </c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</row>
    <row r="1241">
      <c r="A1241" s="12">
        <v>3.66</v>
      </c>
      <c r="B1241" s="12">
        <v>228.2</v>
      </c>
      <c r="C1241" s="12">
        <v>542.7</v>
      </c>
      <c r="D1241" s="12">
        <v>4.38</v>
      </c>
      <c r="E1241" s="12">
        <v>0.65</v>
      </c>
      <c r="F1241" s="12">
        <v>50.0</v>
      </c>
      <c r="G1241" s="13">
        <v>44462.72188256944</v>
      </c>
      <c r="H1241" s="14">
        <f>IFERROR(__xludf.DUMMYFUNCTION("SPLIT(G1241, "", "")"),44462.0)</f>
        <v>44462</v>
      </c>
      <c r="I1241" s="15">
        <f>IFERROR(__xludf.DUMMYFUNCTION("""COMPUTED_VALUE"""),0.7218865740740741)</f>
        <v>0.7218865741</v>
      </c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</row>
    <row r="1242">
      <c r="A1242" s="12">
        <v>3.65</v>
      </c>
      <c r="B1242" s="12">
        <v>228.1</v>
      </c>
      <c r="C1242" s="12">
        <v>542.6</v>
      </c>
      <c r="D1242" s="12">
        <v>4.38</v>
      </c>
      <c r="E1242" s="12">
        <v>0.65</v>
      </c>
      <c r="F1242" s="12">
        <v>50.0</v>
      </c>
      <c r="G1242" s="13">
        <v>44462.72198559028</v>
      </c>
      <c r="H1242" s="14">
        <f>IFERROR(__xludf.DUMMYFUNCTION("SPLIT(G1242, "", "")"),44462.0)</f>
        <v>44462</v>
      </c>
      <c r="I1242" s="15">
        <f>IFERROR(__xludf.DUMMYFUNCTION("""COMPUTED_VALUE"""),0.7219907407407408)</f>
        <v>0.7219907407</v>
      </c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</row>
    <row r="1243">
      <c r="A1243" s="12">
        <v>3.65</v>
      </c>
      <c r="B1243" s="12">
        <v>228.2</v>
      </c>
      <c r="C1243" s="12">
        <v>542.7</v>
      </c>
      <c r="D1243" s="12">
        <v>4.39</v>
      </c>
      <c r="E1243" s="12">
        <v>0.65</v>
      </c>
      <c r="F1243" s="12">
        <v>50.0</v>
      </c>
      <c r="G1243" s="13">
        <v>44462.722091620366</v>
      </c>
      <c r="H1243" s="14">
        <f>IFERROR(__xludf.DUMMYFUNCTION("SPLIT(G1243, "", "")"),44462.0)</f>
        <v>44462</v>
      </c>
      <c r="I1243" s="15">
        <f>IFERROR(__xludf.DUMMYFUNCTION("""COMPUTED_VALUE"""),0.7220949074074074)</f>
        <v>0.7220949074</v>
      </c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</row>
    <row r="1244">
      <c r="A1244" s="12">
        <v>3.66</v>
      </c>
      <c r="B1244" s="12">
        <v>228.1</v>
      </c>
      <c r="C1244" s="12">
        <v>542.8</v>
      </c>
      <c r="D1244" s="12">
        <v>4.39</v>
      </c>
      <c r="E1244" s="12">
        <v>0.65</v>
      </c>
      <c r="F1244" s="12">
        <v>50.0</v>
      </c>
      <c r="G1244" s="13">
        <v>44462.72220137731</v>
      </c>
      <c r="H1244" s="14">
        <f>IFERROR(__xludf.DUMMYFUNCTION("SPLIT(G1244, "", "")"),44462.0)</f>
        <v>44462</v>
      </c>
      <c r="I1244" s="15">
        <f>IFERROR(__xludf.DUMMYFUNCTION("""COMPUTED_VALUE"""),0.722199074074074)</f>
        <v>0.7221990741</v>
      </c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</row>
    <row r="1245">
      <c r="A1245" s="12">
        <v>3.66</v>
      </c>
      <c r="B1245" s="12">
        <v>228.0</v>
      </c>
      <c r="C1245" s="12">
        <v>542.8</v>
      </c>
      <c r="D1245" s="12">
        <v>4.39</v>
      </c>
      <c r="E1245" s="12">
        <v>0.65</v>
      </c>
      <c r="F1245" s="12">
        <v>50.0</v>
      </c>
      <c r="G1245" s="13">
        <v>44462.72230432871</v>
      </c>
      <c r="H1245" s="14">
        <f>IFERROR(__xludf.DUMMYFUNCTION("SPLIT(G1245, "", "")"),44462.0)</f>
        <v>44462</v>
      </c>
      <c r="I1245" s="15">
        <f>IFERROR(__xludf.DUMMYFUNCTION("""COMPUTED_VALUE"""),0.7223032407407407)</f>
        <v>0.7223032407</v>
      </c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</row>
    <row r="1246">
      <c r="A1246" s="12">
        <v>3.66</v>
      </c>
      <c r="B1246" s="12">
        <v>228.0</v>
      </c>
      <c r="C1246" s="12">
        <v>542.8</v>
      </c>
      <c r="D1246" s="12">
        <v>4.39</v>
      </c>
      <c r="E1246" s="12">
        <v>0.65</v>
      </c>
      <c r="F1246" s="12">
        <v>50.0</v>
      </c>
      <c r="G1246" s="13">
        <v>44462.722403935186</v>
      </c>
      <c r="H1246" s="14">
        <f>IFERROR(__xludf.DUMMYFUNCTION("SPLIT(G1246, "", "")"),44462.0)</f>
        <v>44462</v>
      </c>
      <c r="I1246" s="15">
        <f>IFERROR(__xludf.DUMMYFUNCTION("""COMPUTED_VALUE"""),0.7224074074074074)</f>
        <v>0.7224074074</v>
      </c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</row>
    <row r="1247">
      <c r="A1247" s="12">
        <v>3.66</v>
      </c>
      <c r="B1247" s="12">
        <v>228.1</v>
      </c>
      <c r="C1247" s="12">
        <v>542.9</v>
      </c>
      <c r="D1247" s="12">
        <v>4.39</v>
      </c>
      <c r="E1247" s="12">
        <v>0.65</v>
      </c>
      <c r="F1247" s="12">
        <v>50.0</v>
      </c>
      <c r="G1247" s="13">
        <v>44462.72250931713</v>
      </c>
      <c r="H1247" s="14">
        <f>IFERROR(__xludf.DUMMYFUNCTION("SPLIT(G1247, "", "")"),44462.0)</f>
        <v>44462</v>
      </c>
      <c r="I1247" s="15">
        <f>IFERROR(__xludf.DUMMYFUNCTION("""COMPUTED_VALUE"""),0.7225115740740741)</f>
        <v>0.7225115741</v>
      </c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</row>
    <row r="1248">
      <c r="A1248" s="12">
        <v>3.66</v>
      </c>
      <c r="B1248" s="12">
        <v>228.2</v>
      </c>
      <c r="C1248" s="12">
        <v>542.9</v>
      </c>
      <c r="D1248" s="12">
        <v>4.39</v>
      </c>
      <c r="E1248" s="12">
        <v>0.65</v>
      </c>
      <c r="F1248" s="12">
        <v>50.0</v>
      </c>
      <c r="G1248" s="13">
        <v>44462.72262019676</v>
      </c>
      <c r="H1248" s="14">
        <f>IFERROR(__xludf.DUMMYFUNCTION("SPLIT(G1248, "", "")"),44462.0)</f>
        <v>44462</v>
      </c>
      <c r="I1248" s="15">
        <f>IFERROR(__xludf.DUMMYFUNCTION("""COMPUTED_VALUE"""),0.7226157407407408)</f>
        <v>0.7226157407</v>
      </c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</row>
    <row r="1249">
      <c r="A1249" s="12">
        <v>3.66</v>
      </c>
      <c r="B1249" s="12">
        <v>228.1</v>
      </c>
      <c r="C1249" s="12">
        <v>543.0</v>
      </c>
      <c r="D1249" s="12">
        <v>4.39</v>
      </c>
      <c r="E1249" s="12">
        <v>0.65</v>
      </c>
      <c r="F1249" s="12">
        <v>50.0</v>
      </c>
      <c r="G1249" s="13">
        <v>44462.72273388889</v>
      </c>
      <c r="H1249" s="14">
        <f>IFERROR(__xludf.DUMMYFUNCTION("SPLIT(G1249, "", "")"),44462.0)</f>
        <v>44462</v>
      </c>
      <c r="I1249" s="15">
        <f>IFERROR(__xludf.DUMMYFUNCTION("""COMPUTED_VALUE"""),0.7227314814814815)</f>
        <v>0.7227314815</v>
      </c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</row>
    <row r="1250">
      <c r="A1250" s="12">
        <v>3.66</v>
      </c>
      <c r="B1250" s="12">
        <v>227.9</v>
      </c>
      <c r="C1250" s="12">
        <v>543.0</v>
      </c>
      <c r="D1250" s="12">
        <v>4.39</v>
      </c>
      <c r="E1250" s="12">
        <v>0.65</v>
      </c>
      <c r="F1250" s="12">
        <v>50.0</v>
      </c>
      <c r="G1250" s="13">
        <v>44462.72284743056</v>
      </c>
      <c r="H1250" s="14">
        <f>IFERROR(__xludf.DUMMYFUNCTION("SPLIT(G1250, "", "")"),44462.0)</f>
        <v>44462</v>
      </c>
      <c r="I1250" s="15">
        <f>IFERROR(__xludf.DUMMYFUNCTION("""COMPUTED_VALUE"""),0.7228472222222222)</f>
        <v>0.7228472222</v>
      </c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</row>
    <row r="1251">
      <c r="A1251" s="12">
        <v>3.66</v>
      </c>
      <c r="B1251" s="12">
        <v>227.9</v>
      </c>
      <c r="C1251" s="12">
        <v>543.0</v>
      </c>
      <c r="D1251" s="12">
        <v>4.4</v>
      </c>
      <c r="E1251" s="12">
        <v>0.65</v>
      </c>
      <c r="F1251" s="12">
        <v>50.0</v>
      </c>
      <c r="G1251" s="13">
        <v>44462.72297282408</v>
      </c>
      <c r="H1251" s="14">
        <f>IFERROR(__xludf.DUMMYFUNCTION("SPLIT(G1251, "", "")"),44462.0)</f>
        <v>44462</v>
      </c>
      <c r="I1251" s="15">
        <f>IFERROR(__xludf.DUMMYFUNCTION("""COMPUTED_VALUE"""),0.7229745370370371)</f>
        <v>0.722974537</v>
      </c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</row>
    <row r="1252">
      <c r="A1252" s="12">
        <v>3.66</v>
      </c>
      <c r="B1252" s="12">
        <v>227.9</v>
      </c>
      <c r="C1252" s="12">
        <v>543.1</v>
      </c>
      <c r="D1252" s="12">
        <v>4.4</v>
      </c>
      <c r="E1252" s="12">
        <v>0.65</v>
      </c>
      <c r="F1252" s="12">
        <v>50.0</v>
      </c>
      <c r="G1252" s="13">
        <v>44462.72307334491</v>
      </c>
      <c r="H1252" s="14">
        <f>IFERROR(__xludf.DUMMYFUNCTION("SPLIT(G1252, "", "")"),44462.0)</f>
        <v>44462</v>
      </c>
      <c r="I1252" s="15">
        <f>IFERROR(__xludf.DUMMYFUNCTION("""COMPUTED_VALUE"""),0.7230787037037038)</f>
        <v>0.7230787037</v>
      </c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</row>
    <row r="1253">
      <c r="A1253" s="12">
        <v>3.66</v>
      </c>
      <c r="B1253" s="12">
        <v>228.0</v>
      </c>
      <c r="C1253" s="12">
        <v>543.0</v>
      </c>
      <c r="D1253" s="12">
        <v>4.4</v>
      </c>
      <c r="E1253" s="12">
        <v>0.65</v>
      </c>
      <c r="F1253" s="12">
        <v>49.9</v>
      </c>
      <c r="G1253" s="13">
        <v>44462.7231785301</v>
      </c>
      <c r="H1253" s="14">
        <f>IFERROR(__xludf.DUMMYFUNCTION("SPLIT(G1253, "", "")"),44462.0)</f>
        <v>44462</v>
      </c>
      <c r="I1253" s="15">
        <f>IFERROR(__xludf.DUMMYFUNCTION("""COMPUTED_VALUE"""),0.7231828703703703)</f>
        <v>0.7231828704</v>
      </c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</row>
    <row r="1254">
      <c r="A1254" s="12">
        <v>3.66</v>
      </c>
      <c r="B1254" s="12">
        <v>227.8</v>
      </c>
      <c r="C1254" s="12">
        <v>543.1</v>
      </c>
      <c r="D1254" s="12">
        <v>4.4</v>
      </c>
      <c r="E1254" s="12">
        <v>0.65</v>
      </c>
      <c r="F1254" s="12">
        <v>49.9</v>
      </c>
      <c r="G1254" s="13">
        <v>44462.723286504624</v>
      </c>
      <c r="H1254" s="14">
        <f>IFERROR(__xludf.DUMMYFUNCTION("SPLIT(G1254, "", "")"),44462.0)</f>
        <v>44462</v>
      </c>
      <c r="I1254" s="15">
        <f>IFERROR(__xludf.DUMMYFUNCTION("""COMPUTED_VALUE"""),0.723287037037037)</f>
        <v>0.723287037</v>
      </c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</row>
    <row r="1255">
      <c r="A1255" s="12">
        <v>3.66</v>
      </c>
      <c r="B1255" s="12">
        <v>227.8</v>
      </c>
      <c r="C1255" s="12">
        <v>543.3</v>
      </c>
      <c r="D1255" s="12">
        <v>4.4</v>
      </c>
      <c r="E1255" s="12">
        <v>0.65</v>
      </c>
      <c r="F1255" s="12">
        <v>50.0</v>
      </c>
      <c r="G1255" s="13">
        <v>44462.723389907405</v>
      </c>
      <c r="H1255" s="14">
        <f>IFERROR(__xludf.DUMMYFUNCTION("SPLIT(G1255, "", "")"),44462.0)</f>
        <v>44462</v>
      </c>
      <c r="I1255" s="15">
        <f>IFERROR(__xludf.DUMMYFUNCTION("""COMPUTED_VALUE"""),0.7233912037037037)</f>
        <v>0.7233912037</v>
      </c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</row>
    <row r="1256">
      <c r="A1256" s="12">
        <v>3.66</v>
      </c>
      <c r="B1256" s="12">
        <v>227.8</v>
      </c>
      <c r="C1256" s="12">
        <v>543.2</v>
      </c>
      <c r="D1256" s="12">
        <v>4.4</v>
      </c>
      <c r="E1256" s="12">
        <v>0.65</v>
      </c>
      <c r="F1256" s="12">
        <v>50.0</v>
      </c>
      <c r="G1256" s="13">
        <v>44462.72349232639</v>
      </c>
      <c r="H1256" s="14">
        <f>IFERROR(__xludf.DUMMYFUNCTION("SPLIT(G1256, "", "")"),44462.0)</f>
        <v>44462</v>
      </c>
      <c r="I1256" s="15">
        <f>IFERROR(__xludf.DUMMYFUNCTION("""COMPUTED_VALUE"""),0.7234953703703704)</f>
        <v>0.7234953704</v>
      </c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</row>
    <row r="1257">
      <c r="A1257" s="12">
        <v>3.66</v>
      </c>
      <c r="B1257" s="12">
        <v>227.9</v>
      </c>
      <c r="C1257" s="12">
        <v>543.2</v>
      </c>
      <c r="D1257" s="12">
        <v>4.41</v>
      </c>
      <c r="E1257" s="12">
        <v>0.65</v>
      </c>
      <c r="F1257" s="12">
        <v>50.0</v>
      </c>
      <c r="G1257" s="13">
        <v>44462.723596909724</v>
      </c>
      <c r="H1257" s="14">
        <f>IFERROR(__xludf.DUMMYFUNCTION("SPLIT(G1257, "", "")"),44462.0)</f>
        <v>44462</v>
      </c>
      <c r="I1257" s="15">
        <f>IFERROR(__xludf.DUMMYFUNCTION("""COMPUTED_VALUE"""),0.723599537037037)</f>
        <v>0.723599537</v>
      </c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</row>
    <row r="1258">
      <c r="A1258" s="12">
        <v>3.65</v>
      </c>
      <c r="B1258" s="12">
        <v>228.0</v>
      </c>
      <c r="C1258" s="12">
        <v>543.2</v>
      </c>
      <c r="D1258" s="12">
        <v>4.41</v>
      </c>
      <c r="E1258" s="12">
        <v>0.65</v>
      </c>
      <c r="F1258" s="12">
        <v>50.0</v>
      </c>
      <c r="G1258" s="13">
        <v>44462.72369840278</v>
      </c>
      <c r="H1258" s="14">
        <f>IFERROR(__xludf.DUMMYFUNCTION("SPLIT(G1258, "", "")"),44462.0)</f>
        <v>44462</v>
      </c>
      <c r="I1258" s="15">
        <f>IFERROR(__xludf.DUMMYFUNCTION("""COMPUTED_VALUE"""),0.7237037037037037)</f>
        <v>0.7237037037</v>
      </c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</row>
    <row r="1259">
      <c r="A1259" s="12">
        <v>3.66</v>
      </c>
      <c r="B1259" s="12">
        <v>227.9</v>
      </c>
      <c r="C1259" s="12">
        <v>543.3</v>
      </c>
      <c r="D1259" s="12">
        <v>4.41</v>
      </c>
      <c r="E1259" s="12">
        <v>0.65</v>
      </c>
      <c r="F1259" s="12">
        <v>50.0</v>
      </c>
      <c r="G1259" s="13">
        <v>44462.723804837966</v>
      </c>
      <c r="H1259" s="14">
        <f>IFERROR(__xludf.DUMMYFUNCTION("SPLIT(G1259, "", "")"),44462.0)</f>
        <v>44462</v>
      </c>
      <c r="I1259" s="15">
        <f>IFERROR(__xludf.DUMMYFUNCTION("""COMPUTED_VALUE"""),0.7238078703703704)</f>
        <v>0.7238078704</v>
      </c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</row>
    <row r="1260">
      <c r="A1260" s="12">
        <v>3.67</v>
      </c>
      <c r="B1260" s="12">
        <v>228.0</v>
      </c>
      <c r="C1260" s="12">
        <v>543.3</v>
      </c>
      <c r="D1260" s="12">
        <v>4.41</v>
      </c>
      <c r="E1260" s="12">
        <v>0.65</v>
      </c>
      <c r="F1260" s="12">
        <v>50.0</v>
      </c>
      <c r="G1260" s="13">
        <v>44462.72391378472</v>
      </c>
      <c r="H1260" s="14">
        <f>IFERROR(__xludf.DUMMYFUNCTION("SPLIT(G1260, "", "")"),44462.0)</f>
        <v>44462</v>
      </c>
      <c r="I1260" s="15">
        <f>IFERROR(__xludf.DUMMYFUNCTION("""COMPUTED_VALUE"""),0.723912037037037)</f>
        <v>0.723912037</v>
      </c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</row>
    <row r="1261">
      <c r="A1261" s="12">
        <v>3.66</v>
      </c>
      <c r="B1261" s="12">
        <v>228.0</v>
      </c>
      <c r="C1261" s="12">
        <v>543.3</v>
      </c>
      <c r="D1261" s="12">
        <v>4.41</v>
      </c>
      <c r="E1261" s="12">
        <v>0.65</v>
      </c>
      <c r="F1261" s="12">
        <v>50.0</v>
      </c>
      <c r="G1261" s="13">
        <v>44462.72401774305</v>
      </c>
      <c r="H1261" s="14">
        <f>IFERROR(__xludf.DUMMYFUNCTION("SPLIT(G1261, "", "")"),44462.0)</f>
        <v>44462</v>
      </c>
      <c r="I1261" s="15">
        <f>IFERROR(__xludf.DUMMYFUNCTION("""COMPUTED_VALUE"""),0.7240162037037037)</f>
        <v>0.7240162037</v>
      </c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</row>
    <row r="1262">
      <c r="A1262" s="12">
        <v>3.66</v>
      </c>
      <c r="B1262" s="12">
        <v>228.1</v>
      </c>
      <c r="C1262" s="12">
        <v>543.4</v>
      </c>
      <c r="D1262" s="12">
        <v>4.41</v>
      </c>
      <c r="E1262" s="12">
        <v>0.65</v>
      </c>
      <c r="F1262" s="12">
        <v>50.0</v>
      </c>
      <c r="G1262" s="13">
        <v>44462.72412584491</v>
      </c>
      <c r="H1262" s="14">
        <f>IFERROR(__xludf.DUMMYFUNCTION("SPLIT(G1262, "", "")"),44462.0)</f>
        <v>44462</v>
      </c>
      <c r="I1262" s="15">
        <f>IFERROR(__xludf.DUMMYFUNCTION("""COMPUTED_VALUE"""),0.7241203703703704)</f>
        <v>0.7241203704</v>
      </c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</row>
    <row r="1263">
      <c r="A1263" s="12">
        <v>3.66</v>
      </c>
      <c r="B1263" s="12">
        <v>228.1</v>
      </c>
      <c r="C1263" s="12">
        <v>543.3</v>
      </c>
      <c r="D1263" s="12">
        <v>4.41</v>
      </c>
      <c r="E1263" s="12">
        <v>0.65</v>
      </c>
      <c r="F1263" s="12">
        <v>50.0</v>
      </c>
      <c r="G1263" s="13">
        <v>44462.724231493055</v>
      </c>
      <c r="H1263" s="14">
        <f>IFERROR(__xludf.DUMMYFUNCTION("SPLIT(G1263, "", "")"),44462.0)</f>
        <v>44462</v>
      </c>
      <c r="I1263" s="15">
        <f>IFERROR(__xludf.DUMMYFUNCTION("""COMPUTED_VALUE"""),0.7242361111111111)</f>
        <v>0.7242361111</v>
      </c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</row>
    <row r="1264">
      <c r="A1264" s="12">
        <v>3.66</v>
      </c>
      <c r="B1264" s="12">
        <v>228.3</v>
      </c>
      <c r="C1264" s="12">
        <v>543.4</v>
      </c>
      <c r="D1264" s="12">
        <v>4.41</v>
      </c>
      <c r="E1264" s="12">
        <v>0.65</v>
      </c>
      <c r="F1264" s="12">
        <v>50.0</v>
      </c>
      <c r="G1264" s="13">
        <v>44462.72433247685</v>
      </c>
      <c r="H1264" s="14">
        <f>IFERROR(__xludf.DUMMYFUNCTION("SPLIT(G1264, "", "")"),44462.0)</f>
        <v>44462</v>
      </c>
      <c r="I1264" s="15">
        <f>IFERROR(__xludf.DUMMYFUNCTION("""COMPUTED_VALUE"""),0.7243287037037037)</f>
        <v>0.7243287037</v>
      </c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</row>
    <row r="1265">
      <c r="A1265" s="12">
        <v>3.65</v>
      </c>
      <c r="B1265" s="12">
        <v>228.2</v>
      </c>
      <c r="C1265" s="12">
        <v>543.4</v>
      </c>
      <c r="D1265" s="12">
        <v>4.42</v>
      </c>
      <c r="E1265" s="12">
        <v>0.65</v>
      </c>
      <c r="F1265" s="12">
        <v>50.0</v>
      </c>
      <c r="G1265" s="13">
        <v>44462.72443261574</v>
      </c>
      <c r="H1265" s="14">
        <f>IFERROR(__xludf.DUMMYFUNCTION("SPLIT(G1265, "", "")"),44462.0)</f>
        <v>44462</v>
      </c>
      <c r="I1265" s="15">
        <f>IFERROR(__xludf.DUMMYFUNCTION("""COMPUTED_VALUE"""),0.7244328703703704)</f>
        <v>0.7244328704</v>
      </c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</row>
    <row r="1266">
      <c r="A1266" s="12">
        <v>3.66</v>
      </c>
      <c r="B1266" s="12">
        <v>228.2</v>
      </c>
      <c r="C1266" s="12">
        <v>543.5</v>
      </c>
      <c r="D1266" s="12">
        <v>4.42</v>
      </c>
      <c r="E1266" s="12">
        <v>0.65</v>
      </c>
      <c r="F1266" s="12">
        <v>50.0</v>
      </c>
      <c r="G1266" s="13">
        <v>44462.72453876157</v>
      </c>
      <c r="H1266" s="14">
        <f>IFERROR(__xludf.DUMMYFUNCTION("SPLIT(G1266, "", "")"),44462.0)</f>
        <v>44462</v>
      </c>
      <c r="I1266" s="15">
        <f>IFERROR(__xludf.DUMMYFUNCTION("""COMPUTED_VALUE"""),0.7245370370370371)</f>
        <v>0.724537037</v>
      </c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</row>
    <row r="1267">
      <c r="A1267" s="12">
        <v>3.66</v>
      </c>
      <c r="B1267" s="12">
        <v>228.1</v>
      </c>
      <c r="C1267" s="12">
        <v>543.4</v>
      </c>
      <c r="D1267" s="12">
        <v>4.42</v>
      </c>
      <c r="E1267" s="12">
        <v>0.65</v>
      </c>
      <c r="F1267" s="12">
        <v>50.0</v>
      </c>
      <c r="G1267" s="13">
        <v>44462.72465122685</v>
      </c>
      <c r="H1267" s="14">
        <f>IFERROR(__xludf.DUMMYFUNCTION("SPLIT(G1267, "", "")"),44462.0)</f>
        <v>44462</v>
      </c>
      <c r="I1267" s="15">
        <f>IFERROR(__xludf.DUMMYFUNCTION("""COMPUTED_VALUE"""),0.7246527777777778)</f>
        <v>0.7246527778</v>
      </c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</row>
    <row r="1268">
      <c r="A1268" s="12">
        <v>3.66</v>
      </c>
      <c r="B1268" s="12">
        <v>228.1</v>
      </c>
      <c r="C1268" s="12">
        <v>543.5</v>
      </c>
      <c r="D1268" s="12">
        <v>4.42</v>
      </c>
      <c r="E1268" s="12">
        <v>0.65</v>
      </c>
      <c r="F1268" s="12">
        <v>50.0</v>
      </c>
      <c r="G1268" s="13">
        <v>44462.72475196759</v>
      </c>
      <c r="H1268" s="14">
        <f>IFERROR(__xludf.DUMMYFUNCTION("SPLIT(G1268, "", "")"),44462.0)</f>
        <v>44462</v>
      </c>
      <c r="I1268" s="15">
        <f>IFERROR(__xludf.DUMMYFUNCTION("""COMPUTED_VALUE"""),0.7247569444444445)</f>
        <v>0.7247569444</v>
      </c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</row>
    <row r="1269">
      <c r="A1269" s="12">
        <v>3.66</v>
      </c>
      <c r="B1269" s="12">
        <v>228.0</v>
      </c>
      <c r="C1269" s="12">
        <v>543.5</v>
      </c>
      <c r="D1269" s="12">
        <v>4.42</v>
      </c>
      <c r="E1269" s="12">
        <v>0.65</v>
      </c>
      <c r="F1269" s="12">
        <v>50.0</v>
      </c>
      <c r="G1269" s="13">
        <v>44462.72487653935</v>
      </c>
      <c r="H1269" s="14">
        <f>IFERROR(__xludf.DUMMYFUNCTION("SPLIT(G1269, "", "")"),44462.0)</f>
        <v>44462</v>
      </c>
      <c r="I1269" s="15">
        <f>IFERROR(__xludf.DUMMYFUNCTION("""COMPUTED_VALUE"""),0.7248726851851852)</f>
        <v>0.7248726852</v>
      </c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</row>
    <row r="1270">
      <c r="A1270" s="12">
        <v>3.66</v>
      </c>
      <c r="B1270" s="12">
        <v>228.1</v>
      </c>
      <c r="C1270" s="12">
        <v>543.6</v>
      </c>
      <c r="D1270" s="12">
        <v>4.42</v>
      </c>
      <c r="E1270" s="12">
        <v>0.65</v>
      </c>
      <c r="F1270" s="12">
        <v>50.0</v>
      </c>
      <c r="G1270" s="13">
        <v>44462.72498185185</v>
      </c>
      <c r="H1270" s="14">
        <f>IFERROR(__xludf.DUMMYFUNCTION("SPLIT(G1270, "", "")"),44462.0)</f>
        <v>44462</v>
      </c>
      <c r="I1270" s="15">
        <f>IFERROR(__xludf.DUMMYFUNCTION("""COMPUTED_VALUE"""),0.7249768518518519)</f>
        <v>0.7249768519</v>
      </c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</row>
    <row r="1271">
      <c r="A1271" s="12">
        <v>3.67</v>
      </c>
      <c r="B1271" s="12">
        <v>228.1</v>
      </c>
      <c r="C1271" s="12">
        <v>543.7</v>
      </c>
      <c r="D1271" s="12">
        <v>4.42</v>
      </c>
      <c r="E1271" s="12">
        <v>0.65</v>
      </c>
      <c r="F1271" s="12">
        <v>50.0</v>
      </c>
      <c r="G1271" s="13">
        <v>44462.725081261575</v>
      </c>
      <c r="H1271" s="14">
        <f>IFERROR(__xludf.DUMMYFUNCTION("SPLIT(G1271, "", "")"),44462.0)</f>
        <v>44462</v>
      </c>
      <c r="I1271" s="15">
        <f>IFERROR(__xludf.DUMMYFUNCTION("""COMPUTED_VALUE"""),0.7250810185185185)</f>
        <v>0.7250810185</v>
      </c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</row>
    <row r="1272">
      <c r="A1272" s="12">
        <v>3.66</v>
      </c>
      <c r="B1272" s="12">
        <v>228.0</v>
      </c>
      <c r="C1272" s="12">
        <v>543.5</v>
      </c>
      <c r="D1272" s="12">
        <v>4.43</v>
      </c>
      <c r="E1272" s="12">
        <v>0.65</v>
      </c>
      <c r="F1272" s="12">
        <v>50.0</v>
      </c>
      <c r="G1272" s="13">
        <v>44462.725179733796</v>
      </c>
      <c r="H1272" s="14">
        <f>IFERROR(__xludf.DUMMYFUNCTION("SPLIT(G1272, "", "")"),44462.0)</f>
        <v>44462</v>
      </c>
      <c r="I1272" s="15">
        <f>IFERROR(__xludf.DUMMYFUNCTION("""COMPUTED_VALUE"""),0.7251851851851852)</f>
        <v>0.7251851852</v>
      </c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</row>
    <row r="1273">
      <c r="A1273" s="12">
        <v>3.66</v>
      </c>
      <c r="B1273" s="12">
        <v>228.0</v>
      </c>
      <c r="C1273" s="12">
        <v>543.6</v>
      </c>
      <c r="D1273" s="12">
        <v>4.43</v>
      </c>
      <c r="E1273" s="12">
        <v>0.65</v>
      </c>
      <c r="F1273" s="12">
        <v>50.0</v>
      </c>
      <c r="G1273" s="13">
        <v>44462.72528078704</v>
      </c>
      <c r="H1273" s="14">
        <f>IFERROR(__xludf.DUMMYFUNCTION("SPLIT(G1273, "", "")"),44462.0)</f>
        <v>44462</v>
      </c>
      <c r="I1273" s="15">
        <f>IFERROR(__xludf.DUMMYFUNCTION("""COMPUTED_VALUE"""),0.7252777777777778)</f>
        <v>0.7252777778</v>
      </c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</row>
    <row r="1274">
      <c r="A1274" s="12">
        <v>3.66</v>
      </c>
      <c r="B1274" s="12">
        <v>228.0</v>
      </c>
      <c r="C1274" s="12">
        <v>543.7</v>
      </c>
      <c r="D1274" s="12">
        <v>4.43</v>
      </c>
      <c r="E1274" s="12">
        <v>0.65</v>
      </c>
      <c r="F1274" s="12">
        <v>50.0</v>
      </c>
      <c r="G1274" s="13">
        <v>44462.725379375</v>
      </c>
      <c r="H1274" s="14">
        <f>IFERROR(__xludf.DUMMYFUNCTION("SPLIT(G1274, "", "")"),44462.0)</f>
        <v>44462</v>
      </c>
      <c r="I1274" s="15">
        <f>IFERROR(__xludf.DUMMYFUNCTION("""COMPUTED_VALUE"""),0.7253819444444445)</f>
        <v>0.7253819444</v>
      </c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</row>
    <row r="1275">
      <c r="A1275" s="12">
        <v>3.66</v>
      </c>
      <c r="B1275" s="12">
        <v>228.1</v>
      </c>
      <c r="C1275" s="12">
        <v>543.7</v>
      </c>
      <c r="D1275" s="12">
        <v>4.43</v>
      </c>
      <c r="E1275" s="12">
        <v>0.65</v>
      </c>
      <c r="F1275" s="12">
        <v>50.0</v>
      </c>
      <c r="G1275" s="13">
        <v>44462.72548415509</v>
      </c>
      <c r="H1275" s="14">
        <f>IFERROR(__xludf.DUMMYFUNCTION("SPLIT(G1275, "", "")"),44462.0)</f>
        <v>44462</v>
      </c>
      <c r="I1275" s="15">
        <f>IFERROR(__xludf.DUMMYFUNCTION("""COMPUTED_VALUE"""),0.7254861111111112)</f>
        <v>0.7254861111</v>
      </c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</row>
    <row r="1276">
      <c r="A1276" s="12">
        <v>3.66</v>
      </c>
      <c r="B1276" s="12">
        <v>228.1</v>
      </c>
      <c r="C1276" s="12">
        <v>543.7</v>
      </c>
      <c r="D1276" s="12">
        <v>4.43</v>
      </c>
      <c r="E1276" s="12">
        <v>0.65</v>
      </c>
      <c r="F1276" s="12">
        <v>50.0</v>
      </c>
      <c r="G1276" s="13">
        <v>44462.72558899305</v>
      </c>
      <c r="H1276" s="14">
        <f>IFERROR(__xludf.DUMMYFUNCTION("SPLIT(G1276, "", "")"),44462.0)</f>
        <v>44462</v>
      </c>
      <c r="I1276" s="15">
        <f>IFERROR(__xludf.DUMMYFUNCTION("""COMPUTED_VALUE"""),0.7255902777777777)</f>
        <v>0.7255902778</v>
      </c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</row>
    <row r="1277">
      <c r="A1277" s="12">
        <v>3.66</v>
      </c>
      <c r="B1277" s="12">
        <v>228.1</v>
      </c>
      <c r="C1277" s="12">
        <v>543.8</v>
      </c>
      <c r="D1277" s="12">
        <v>4.43</v>
      </c>
      <c r="E1277" s="12">
        <v>0.65</v>
      </c>
      <c r="F1277" s="12">
        <v>50.0</v>
      </c>
      <c r="G1277" s="13">
        <v>44462.725695925925</v>
      </c>
      <c r="H1277" s="14">
        <f>IFERROR(__xludf.DUMMYFUNCTION("SPLIT(G1277, "", "")"),44462.0)</f>
        <v>44462</v>
      </c>
      <c r="I1277" s="15">
        <f>IFERROR(__xludf.DUMMYFUNCTION("""COMPUTED_VALUE"""),0.7256944444444444)</f>
        <v>0.7256944444</v>
      </c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</row>
    <row r="1278">
      <c r="A1278" s="12">
        <v>3.67</v>
      </c>
      <c r="B1278" s="12">
        <v>228.2</v>
      </c>
      <c r="C1278" s="12">
        <v>543.9</v>
      </c>
      <c r="D1278" s="12">
        <v>4.43</v>
      </c>
      <c r="E1278" s="12">
        <v>0.65</v>
      </c>
      <c r="F1278" s="12">
        <v>50.0</v>
      </c>
      <c r="G1278" s="13">
        <v>44462.72580049769</v>
      </c>
      <c r="H1278" s="14">
        <f>IFERROR(__xludf.DUMMYFUNCTION("SPLIT(G1278, "", "")"),44462.0)</f>
        <v>44462</v>
      </c>
      <c r="I1278" s="15">
        <f>IFERROR(__xludf.DUMMYFUNCTION("""COMPUTED_VALUE"""),0.7257986111111111)</f>
        <v>0.7257986111</v>
      </c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</row>
    <row r="1279">
      <c r="A1279" s="12">
        <v>3.66</v>
      </c>
      <c r="B1279" s="12">
        <v>228.1</v>
      </c>
      <c r="C1279" s="12">
        <v>543.9</v>
      </c>
      <c r="D1279" s="12">
        <v>4.43</v>
      </c>
      <c r="E1279" s="12">
        <v>0.65</v>
      </c>
      <c r="F1279" s="12">
        <v>50.0</v>
      </c>
      <c r="G1279" s="13">
        <v>44462.72590909722</v>
      </c>
      <c r="H1279" s="14">
        <f>IFERROR(__xludf.DUMMYFUNCTION("SPLIT(G1279, "", "")"),44462.0)</f>
        <v>44462</v>
      </c>
      <c r="I1279" s="15">
        <f>IFERROR(__xludf.DUMMYFUNCTION("""COMPUTED_VALUE"""),0.7259143518518518)</f>
        <v>0.7259143519</v>
      </c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</row>
    <row r="1280">
      <c r="A1280" s="12">
        <v>3.66</v>
      </c>
      <c r="B1280" s="12">
        <v>228.2</v>
      </c>
      <c r="C1280" s="12">
        <v>543.9</v>
      </c>
      <c r="D1280" s="12">
        <v>4.44</v>
      </c>
      <c r="E1280" s="12">
        <v>0.65</v>
      </c>
      <c r="F1280" s="12">
        <v>50.0</v>
      </c>
      <c r="G1280" s="13">
        <v>44462.72601570602</v>
      </c>
      <c r="H1280" s="14">
        <f>IFERROR(__xludf.DUMMYFUNCTION("SPLIT(G1280, "", "")"),44462.0)</f>
        <v>44462</v>
      </c>
      <c r="I1280" s="15">
        <f>IFERROR(__xludf.DUMMYFUNCTION("""COMPUTED_VALUE"""),0.7260185185185185)</f>
        <v>0.7260185185</v>
      </c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</row>
    <row r="1281">
      <c r="A1281" s="12">
        <v>3.66</v>
      </c>
      <c r="B1281" s="12">
        <v>228.2</v>
      </c>
      <c r="C1281" s="12">
        <v>543.9</v>
      </c>
      <c r="D1281" s="12">
        <v>4.44</v>
      </c>
      <c r="E1281" s="12">
        <v>0.65</v>
      </c>
      <c r="F1281" s="12">
        <v>50.0</v>
      </c>
      <c r="G1281" s="13">
        <v>44462.72611942129</v>
      </c>
      <c r="H1281" s="14">
        <f>IFERROR(__xludf.DUMMYFUNCTION("SPLIT(G1281, "", "")"),44462.0)</f>
        <v>44462</v>
      </c>
      <c r="I1281" s="15">
        <f>IFERROR(__xludf.DUMMYFUNCTION("""COMPUTED_VALUE"""),0.7261226851851852)</f>
        <v>0.7261226852</v>
      </c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</row>
    <row r="1282">
      <c r="A1282" s="12">
        <v>3.66</v>
      </c>
      <c r="B1282" s="12">
        <v>228.1</v>
      </c>
      <c r="C1282" s="12">
        <v>544.0</v>
      </c>
      <c r="D1282" s="12">
        <v>4.44</v>
      </c>
      <c r="E1282" s="12">
        <v>0.65</v>
      </c>
      <c r="F1282" s="12">
        <v>50.0</v>
      </c>
      <c r="G1282" s="13">
        <v>44462.72622322917</v>
      </c>
      <c r="H1282" s="14">
        <f>IFERROR(__xludf.DUMMYFUNCTION("SPLIT(G1282, "", "")"),44462.0)</f>
        <v>44462</v>
      </c>
      <c r="I1282" s="15">
        <f>IFERROR(__xludf.DUMMYFUNCTION("""COMPUTED_VALUE"""),0.7262268518518519)</f>
        <v>0.7262268519</v>
      </c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</row>
    <row r="1283">
      <c r="A1283" s="12">
        <v>3.67</v>
      </c>
      <c r="B1283" s="12">
        <v>228.0</v>
      </c>
      <c r="C1283" s="12">
        <v>544.0</v>
      </c>
      <c r="D1283" s="12">
        <v>4.44</v>
      </c>
      <c r="E1283" s="12">
        <v>0.65</v>
      </c>
      <c r="F1283" s="12">
        <v>50.0</v>
      </c>
      <c r="G1283" s="13">
        <v>44462.726326759264</v>
      </c>
      <c r="H1283" s="14">
        <f>IFERROR(__xludf.DUMMYFUNCTION("SPLIT(G1283, "", "")"),44462.0)</f>
        <v>44462</v>
      </c>
      <c r="I1283" s="15">
        <f>IFERROR(__xludf.DUMMYFUNCTION("""COMPUTED_VALUE"""),0.7263310185185186)</f>
        <v>0.7263310185</v>
      </c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</row>
    <row r="1284">
      <c r="A1284" s="12">
        <v>3.66</v>
      </c>
      <c r="B1284" s="12">
        <v>227.9</v>
      </c>
      <c r="C1284" s="12">
        <v>544.1</v>
      </c>
      <c r="D1284" s="12">
        <v>4.44</v>
      </c>
      <c r="E1284" s="12">
        <v>0.65</v>
      </c>
      <c r="F1284" s="12">
        <v>50.0</v>
      </c>
      <c r="G1284" s="13">
        <v>44462.72642704861</v>
      </c>
      <c r="H1284" s="14">
        <f>IFERROR(__xludf.DUMMYFUNCTION("SPLIT(G1284, "", "")"),44462.0)</f>
        <v>44462</v>
      </c>
      <c r="I1284" s="15">
        <f>IFERROR(__xludf.DUMMYFUNCTION("""COMPUTED_VALUE"""),0.7264236111111111)</f>
        <v>0.7264236111</v>
      </c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</row>
    <row r="1285">
      <c r="A1285" s="12">
        <v>3.67</v>
      </c>
      <c r="B1285" s="12">
        <v>227.7</v>
      </c>
      <c r="C1285" s="12">
        <v>544.2</v>
      </c>
      <c r="D1285" s="12">
        <v>4.44</v>
      </c>
      <c r="E1285" s="12">
        <v>0.65</v>
      </c>
      <c r="F1285" s="12">
        <v>49.9</v>
      </c>
      <c r="G1285" s="13">
        <v>44462.72652939815</v>
      </c>
      <c r="H1285" s="14">
        <f>IFERROR(__xludf.DUMMYFUNCTION("SPLIT(G1285, "", "")"),44462.0)</f>
        <v>44462</v>
      </c>
      <c r="I1285" s="15">
        <f>IFERROR(__xludf.DUMMYFUNCTION("""COMPUTED_VALUE"""),0.7265277777777778)</f>
        <v>0.7265277778</v>
      </c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</row>
    <row r="1286">
      <c r="A1286" s="12">
        <v>3.67</v>
      </c>
      <c r="B1286" s="12">
        <v>227.9</v>
      </c>
      <c r="C1286" s="12">
        <v>544.2</v>
      </c>
      <c r="D1286" s="12">
        <v>4.45</v>
      </c>
      <c r="E1286" s="12">
        <v>0.65</v>
      </c>
      <c r="F1286" s="12">
        <v>50.0</v>
      </c>
      <c r="G1286" s="13">
        <v>44462.726630335645</v>
      </c>
      <c r="H1286" s="14">
        <f>IFERROR(__xludf.DUMMYFUNCTION("SPLIT(G1286, "", "")"),44462.0)</f>
        <v>44462</v>
      </c>
      <c r="I1286" s="15">
        <f>IFERROR(__xludf.DUMMYFUNCTION("""COMPUTED_VALUE"""),0.7266319444444445)</f>
        <v>0.7266319444</v>
      </c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</row>
    <row r="1287">
      <c r="A1287" s="12">
        <v>3.67</v>
      </c>
      <c r="B1287" s="12">
        <v>227.8</v>
      </c>
      <c r="C1287" s="12">
        <v>544.2</v>
      </c>
      <c r="D1287" s="12">
        <v>4.45</v>
      </c>
      <c r="E1287" s="12">
        <v>0.65</v>
      </c>
      <c r="F1287" s="12">
        <v>49.9</v>
      </c>
      <c r="G1287" s="13">
        <v>44462.72673171296</v>
      </c>
      <c r="H1287" s="14">
        <f>IFERROR(__xludf.DUMMYFUNCTION("SPLIT(G1287, "", "")"),44462.0)</f>
        <v>44462</v>
      </c>
      <c r="I1287" s="15">
        <f>IFERROR(__xludf.DUMMYFUNCTION("""COMPUTED_VALUE"""),0.7267361111111111)</f>
        <v>0.7267361111</v>
      </c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</row>
    <row r="1288">
      <c r="A1288" s="12">
        <v>3.67</v>
      </c>
      <c r="B1288" s="12">
        <v>227.8</v>
      </c>
      <c r="C1288" s="12">
        <v>544.1</v>
      </c>
      <c r="D1288" s="12">
        <v>4.45</v>
      </c>
      <c r="E1288" s="12">
        <v>0.65</v>
      </c>
      <c r="F1288" s="12">
        <v>49.9</v>
      </c>
      <c r="G1288" s="13">
        <v>44462.726830914355</v>
      </c>
      <c r="H1288" s="14">
        <f>IFERROR(__xludf.DUMMYFUNCTION("SPLIT(G1288, "", "")"),44462.0)</f>
        <v>44462</v>
      </c>
      <c r="I1288" s="15">
        <f>IFERROR(__xludf.DUMMYFUNCTION("""COMPUTED_VALUE"""),0.7268287037037037)</f>
        <v>0.7268287037</v>
      </c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</row>
    <row r="1289">
      <c r="A1289" s="12">
        <v>3.66</v>
      </c>
      <c r="B1289" s="12">
        <v>227.9</v>
      </c>
      <c r="C1289" s="12">
        <v>544.3</v>
      </c>
      <c r="D1289" s="12">
        <v>4.45</v>
      </c>
      <c r="E1289" s="12">
        <v>0.65</v>
      </c>
      <c r="F1289" s="12">
        <v>49.9</v>
      </c>
      <c r="G1289" s="13">
        <v>44462.726940196764</v>
      </c>
      <c r="H1289" s="14">
        <f>IFERROR(__xludf.DUMMYFUNCTION("SPLIT(G1289, "", "")"),44462.0)</f>
        <v>44462</v>
      </c>
      <c r="I1289" s="15">
        <f>IFERROR(__xludf.DUMMYFUNCTION("""COMPUTED_VALUE"""),0.7269444444444444)</f>
        <v>0.7269444444</v>
      </c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</row>
    <row r="1290">
      <c r="A1290" s="12">
        <v>3.67</v>
      </c>
      <c r="B1290" s="12">
        <v>227.9</v>
      </c>
      <c r="C1290" s="12">
        <v>544.3</v>
      </c>
      <c r="D1290" s="12">
        <v>4.45</v>
      </c>
      <c r="E1290" s="12">
        <v>0.65</v>
      </c>
      <c r="F1290" s="12">
        <v>49.9</v>
      </c>
      <c r="G1290" s="13">
        <v>44462.72704427083</v>
      </c>
      <c r="H1290" s="14">
        <f>IFERROR(__xludf.DUMMYFUNCTION("SPLIT(G1290, "", "")"),44462.0)</f>
        <v>44462</v>
      </c>
      <c r="I1290" s="15">
        <f>IFERROR(__xludf.DUMMYFUNCTION("""COMPUTED_VALUE"""),0.7270486111111111)</f>
        <v>0.7270486111</v>
      </c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</row>
    <row r="1291">
      <c r="A1291" s="12">
        <v>3.66</v>
      </c>
      <c r="B1291" s="12">
        <v>228.0</v>
      </c>
      <c r="C1291" s="12">
        <v>544.4</v>
      </c>
      <c r="D1291" s="12">
        <v>4.45</v>
      </c>
      <c r="E1291" s="12">
        <v>0.65</v>
      </c>
      <c r="F1291" s="12">
        <v>50.0</v>
      </c>
      <c r="G1291" s="13">
        <v>44462.72714390046</v>
      </c>
      <c r="H1291" s="14">
        <f>IFERROR(__xludf.DUMMYFUNCTION("SPLIT(G1291, "", "")"),44462.0)</f>
        <v>44462</v>
      </c>
      <c r="I1291" s="15">
        <f>IFERROR(__xludf.DUMMYFUNCTION("""COMPUTED_VALUE"""),0.7271412037037037)</f>
        <v>0.7271412037</v>
      </c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</row>
    <row r="1292">
      <c r="A1292" s="12">
        <v>3.66</v>
      </c>
      <c r="B1292" s="12">
        <v>228.0</v>
      </c>
      <c r="C1292" s="12">
        <v>544.4</v>
      </c>
      <c r="D1292" s="12">
        <v>4.45</v>
      </c>
      <c r="E1292" s="12">
        <v>0.65</v>
      </c>
      <c r="F1292" s="12">
        <v>49.9</v>
      </c>
      <c r="G1292" s="13">
        <v>44462.72724677083</v>
      </c>
      <c r="H1292" s="14">
        <f>IFERROR(__xludf.DUMMYFUNCTION("SPLIT(G1292, "", "")"),44462.0)</f>
        <v>44462</v>
      </c>
      <c r="I1292" s="15">
        <f>IFERROR(__xludf.DUMMYFUNCTION("""COMPUTED_VALUE"""),0.7272453703703704)</f>
        <v>0.7272453704</v>
      </c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</row>
    <row r="1293">
      <c r="A1293" s="12">
        <v>3.66</v>
      </c>
      <c r="B1293" s="12">
        <v>228.1</v>
      </c>
      <c r="C1293" s="12">
        <v>544.3</v>
      </c>
      <c r="D1293" s="12">
        <v>4.45</v>
      </c>
      <c r="E1293" s="12">
        <v>0.65</v>
      </c>
      <c r="F1293" s="12">
        <v>50.0</v>
      </c>
      <c r="G1293" s="13">
        <v>44462.727351875</v>
      </c>
      <c r="H1293" s="14">
        <f>IFERROR(__xludf.DUMMYFUNCTION("SPLIT(G1293, "", "")"),44462.0)</f>
        <v>44462</v>
      </c>
      <c r="I1293" s="15">
        <f>IFERROR(__xludf.DUMMYFUNCTION("""COMPUTED_VALUE"""),0.7273495370370371)</f>
        <v>0.727349537</v>
      </c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</row>
    <row r="1294">
      <c r="A1294" s="12">
        <v>3.66</v>
      </c>
      <c r="B1294" s="12">
        <v>228.0</v>
      </c>
      <c r="C1294" s="12">
        <v>544.4</v>
      </c>
      <c r="D1294" s="12">
        <v>4.45</v>
      </c>
      <c r="E1294" s="12">
        <v>0.65</v>
      </c>
      <c r="F1294" s="12">
        <v>50.0</v>
      </c>
      <c r="G1294" s="13">
        <v>44462.7274499537</v>
      </c>
      <c r="H1294" s="14">
        <f>IFERROR(__xludf.DUMMYFUNCTION("SPLIT(G1294, "", "")"),44462.0)</f>
        <v>44462</v>
      </c>
      <c r="I1294" s="15">
        <f>IFERROR(__xludf.DUMMYFUNCTION("""COMPUTED_VALUE"""),0.7274537037037037)</f>
        <v>0.7274537037</v>
      </c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</row>
    <row r="1295">
      <c r="A1295" s="12">
        <v>3.67</v>
      </c>
      <c r="B1295" s="12">
        <v>227.9</v>
      </c>
      <c r="C1295" s="12">
        <v>544.5</v>
      </c>
      <c r="D1295" s="12">
        <v>4.46</v>
      </c>
      <c r="E1295" s="12">
        <v>0.65</v>
      </c>
      <c r="F1295" s="12">
        <v>50.0</v>
      </c>
      <c r="G1295" s="13">
        <v>44462.72754806713</v>
      </c>
      <c r="H1295" s="14">
        <f>IFERROR(__xludf.DUMMYFUNCTION("SPLIT(G1295, "", "")"),44462.0)</f>
        <v>44462</v>
      </c>
      <c r="I1295" s="15">
        <f>IFERROR(__xludf.DUMMYFUNCTION("""COMPUTED_VALUE"""),0.7275462962962963)</f>
        <v>0.7275462963</v>
      </c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</row>
    <row r="1296">
      <c r="A1296" s="12">
        <v>3.67</v>
      </c>
      <c r="B1296" s="12">
        <v>227.7</v>
      </c>
      <c r="C1296" s="12">
        <v>544.5</v>
      </c>
      <c r="D1296" s="12">
        <v>4.46</v>
      </c>
      <c r="E1296" s="12">
        <v>0.65</v>
      </c>
      <c r="F1296" s="12">
        <v>50.0</v>
      </c>
      <c r="G1296" s="13">
        <v>44462.72764931713</v>
      </c>
      <c r="H1296" s="14">
        <f>IFERROR(__xludf.DUMMYFUNCTION("SPLIT(G1296, "", "")"),44462.0)</f>
        <v>44462</v>
      </c>
      <c r="I1296" s="15">
        <f>IFERROR(__xludf.DUMMYFUNCTION("""COMPUTED_VALUE"""),0.727650462962963)</f>
        <v>0.727650463</v>
      </c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</row>
    <row r="1297">
      <c r="A1297" s="12">
        <v>3.66</v>
      </c>
      <c r="B1297" s="12">
        <v>227.8</v>
      </c>
      <c r="C1297" s="12">
        <v>544.5</v>
      </c>
      <c r="D1297" s="12">
        <v>4.46</v>
      </c>
      <c r="E1297" s="12">
        <v>0.65</v>
      </c>
      <c r="F1297" s="12">
        <v>50.0</v>
      </c>
      <c r="G1297" s="13">
        <v>44462.727750439815</v>
      </c>
      <c r="H1297" s="14">
        <f>IFERROR(__xludf.DUMMYFUNCTION("SPLIT(G1297, "", "")"),44462.0)</f>
        <v>44462</v>
      </c>
      <c r="I1297" s="15">
        <f>IFERROR(__xludf.DUMMYFUNCTION("""COMPUTED_VALUE"""),0.7277546296296297)</f>
        <v>0.7277546296</v>
      </c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</row>
    <row r="1298">
      <c r="A1298" s="12">
        <v>3.66</v>
      </c>
      <c r="B1298" s="12">
        <v>228.0</v>
      </c>
      <c r="C1298" s="12">
        <v>544.5</v>
      </c>
      <c r="D1298" s="12">
        <v>4.46</v>
      </c>
      <c r="E1298" s="12">
        <v>0.65</v>
      </c>
      <c r="F1298" s="12">
        <v>50.0</v>
      </c>
      <c r="G1298" s="13">
        <v>44462.72785047453</v>
      </c>
      <c r="H1298" s="14">
        <f>IFERROR(__xludf.DUMMYFUNCTION("SPLIT(G1298, "", "")"),44462.0)</f>
        <v>44462</v>
      </c>
      <c r="I1298" s="15">
        <f>IFERROR(__xludf.DUMMYFUNCTION("""COMPUTED_VALUE"""),0.7278472222222222)</f>
        <v>0.7278472222</v>
      </c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</row>
    <row r="1299">
      <c r="A1299" s="12">
        <v>3.66</v>
      </c>
      <c r="B1299" s="12">
        <v>228.0</v>
      </c>
      <c r="C1299" s="12">
        <v>544.6</v>
      </c>
      <c r="D1299" s="12">
        <v>4.46</v>
      </c>
      <c r="E1299" s="12">
        <v>0.65</v>
      </c>
      <c r="F1299" s="12">
        <v>50.0</v>
      </c>
      <c r="G1299" s="13">
        <v>44462.72795101852</v>
      </c>
      <c r="H1299" s="14">
        <f>IFERROR(__xludf.DUMMYFUNCTION("SPLIT(G1299, "", "")"),44462.0)</f>
        <v>44462</v>
      </c>
      <c r="I1299" s="15">
        <f>IFERROR(__xludf.DUMMYFUNCTION("""COMPUTED_VALUE"""),0.7279513888888889)</f>
        <v>0.7279513889</v>
      </c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</row>
    <row r="1300">
      <c r="A1300" s="12">
        <v>3.67</v>
      </c>
      <c r="B1300" s="12">
        <v>227.9</v>
      </c>
      <c r="C1300" s="12">
        <v>544.7</v>
      </c>
      <c r="D1300" s="12">
        <v>4.46</v>
      </c>
      <c r="E1300" s="12">
        <v>0.65</v>
      </c>
      <c r="F1300" s="12">
        <v>50.0</v>
      </c>
      <c r="G1300" s="13">
        <v>44462.72805377315</v>
      </c>
      <c r="H1300" s="14">
        <f>IFERROR(__xludf.DUMMYFUNCTION("SPLIT(G1300, "", "")"),44462.0)</f>
        <v>44462</v>
      </c>
      <c r="I1300" s="15">
        <f>IFERROR(__xludf.DUMMYFUNCTION("""COMPUTED_VALUE"""),0.7280555555555556)</f>
        <v>0.7280555556</v>
      </c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</row>
    <row r="1301">
      <c r="A1301" s="12">
        <v>3.66</v>
      </c>
      <c r="B1301" s="12">
        <v>227.8</v>
      </c>
      <c r="C1301" s="12">
        <v>544.7</v>
      </c>
      <c r="D1301" s="12">
        <v>4.47</v>
      </c>
      <c r="E1301" s="12">
        <v>0.65</v>
      </c>
      <c r="F1301" s="12">
        <v>50.0</v>
      </c>
      <c r="G1301" s="13">
        <v>44462.728154930555</v>
      </c>
      <c r="H1301" s="14">
        <f>IFERROR(__xludf.DUMMYFUNCTION("SPLIT(G1301, "", "")"),44462.0)</f>
        <v>44462</v>
      </c>
      <c r="I1301" s="15">
        <f>IFERROR(__xludf.DUMMYFUNCTION("""COMPUTED_VALUE"""),0.7281597222222222)</f>
        <v>0.7281597222</v>
      </c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</row>
    <row r="1302">
      <c r="A1302" s="12">
        <v>3.66</v>
      </c>
      <c r="B1302" s="12">
        <v>227.9</v>
      </c>
      <c r="C1302" s="12">
        <v>544.6</v>
      </c>
      <c r="D1302" s="12">
        <v>4.47</v>
      </c>
      <c r="E1302" s="12">
        <v>0.65</v>
      </c>
      <c r="F1302" s="12">
        <v>50.0</v>
      </c>
      <c r="G1302" s="13">
        <v>44462.72825810185</v>
      </c>
      <c r="H1302" s="14">
        <f>IFERROR(__xludf.DUMMYFUNCTION("SPLIT(G1302, "", "")"),44462.0)</f>
        <v>44462</v>
      </c>
      <c r="I1302" s="15">
        <f>IFERROR(__xludf.DUMMYFUNCTION("""COMPUTED_VALUE"""),0.7282638888888889)</f>
        <v>0.7282638889</v>
      </c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</row>
    <row r="1303">
      <c r="A1303" s="12">
        <v>3.66</v>
      </c>
      <c r="B1303" s="12">
        <v>227.8</v>
      </c>
      <c r="C1303" s="12">
        <v>544.7</v>
      </c>
      <c r="D1303" s="12">
        <v>4.47</v>
      </c>
      <c r="E1303" s="12">
        <v>0.65</v>
      </c>
      <c r="F1303" s="12">
        <v>50.0</v>
      </c>
      <c r="G1303" s="13">
        <v>44462.72836289352</v>
      </c>
      <c r="H1303" s="14">
        <f>IFERROR(__xludf.DUMMYFUNCTION("SPLIT(G1303, "", "")"),44462.0)</f>
        <v>44462</v>
      </c>
      <c r="I1303" s="15">
        <f>IFERROR(__xludf.DUMMYFUNCTION("""COMPUTED_VALUE"""),0.7283680555555555)</f>
        <v>0.7283680556</v>
      </c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</row>
    <row r="1304">
      <c r="A1304" s="12">
        <v>3.66</v>
      </c>
      <c r="B1304" s="12">
        <v>227.8</v>
      </c>
      <c r="C1304" s="12">
        <v>544.8</v>
      </c>
      <c r="D1304" s="12">
        <v>4.47</v>
      </c>
      <c r="E1304" s="12">
        <v>0.65</v>
      </c>
      <c r="F1304" s="12">
        <v>50.0</v>
      </c>
      <c r="G1304" s="13">
        <v>44462.72846363426</v>
      </c>
      <c r="H1304" s="14">
        <f>IFERROR(__xludf.DUMMYFUNCTION("SPLIT(G1304, "", "")"),44462.0)</f>
        <v>44462</v>
      </c>
      <c r="I1304" s="15">
        <f>IFERROR(__xludf.DUMMYFUNCTION("""COMPUTED_VALUE"""),0.7284606481481481)</f>
        <v>0.7284606481</v>
      </c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</row>
    <row r="1305">
      <c r="A1305" s="12">
        <v>3.66</v>
      </c>
      <c r="B1305" s="12">
        <v>227.8</v>
      </c>
      <c r="C1305" s="12">
        <v>544.9</v>
      </c>
      <c r="D1305" s="12">
        <v>4.47</v>
      </c>
      <c r="E1305" s="12">
        <v>0.65</v>
      </c>
      <c r="F1305" s="12">
        <v>50.0</v>
      </c>
      <c r="G1305" s="13">
        <v>44462.728566562495</v>
      </c>
      <c r="H1305" s="14">
        <f>IFERROR(__xludf.DUMMYFUNCTION("SPLIT(G1305, "", "")"),44462.0)</f>
        <v>44462</v>
      </c>
      <c r="I1305" s="15">
        <f>IFERROR(__xludf.DUMMYFUNCTION("""COMPUTED_VALUE"""),0.7285648148148148)</f>
        <v>0.7285648148</v>
      </c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</row>
    <row r="1306">
      <c r="A1306" s="12">
        <v>3.66</v>
      </c>
      <c r="B1306" s="12">
        <v>227.9</v>
      </c>
      <c r="C1306" s="12">
        <v>544.9</v>
      </c>
      <c r="D1306" s="12">
        <v>4.47</v>
      </c>
      <c r="E1306" s="12">
        <v>0.65</v>
      </c>
      <c r="F1306" s="12">
        <v>50.0</v>
      </c>
      <c r="G1306" s="13">
        <v>44462.728667152776</v>
      </c>
      <c r="H1306" s="14">
        <f>IFERROR(__xludf.DUMMYFUNCTION("SPLIT(G1306, "", "")"),44462.0)</f>
        <v>44462</v>
      </c>
      <c r="I1306" s="15">
        <f>IFERROR(__xludf.DUMMYFUNCTION("""COMPUTED_VALUE"""),0.7286689814814815)</f>
        <v>0.7286689815</v>
      </c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</row>
    <row r="1307">
      <c r="A1307" s="12">
        <v>3.66</v>
      </c>
      <c r="B1307" s="12">
        <v>227.9</v>
      </c>
      <c r="C1307" s="12">
        <v>544.9</v>
      </c>
      <c r="D1307" s="12">
        <v>4.47</v>
      </c>
      <c r="E1307" s="12">
        <v>0.65</v>
      </c>
      <c r="F1307" s="12">
        <v>50.0</v>
      </c>
      <c r="G1307" s="13">
        <v>44462.728768217596</v>
      </c>
      <c r="H1307" s="14">
        <f>IFERROR(__xludf.DUMMYFUNCTION("SPLIT(G1307, "", "")"),44462.0)</f>
        <v>44462</v>
      </c>
      <c r="I1307" s="15">
        <f>IFERROR(__xludf.DUMMYFUNCTION("""COMPUTED_VALUE"""),0.7287731481481482)</f>
        <v>0.7287731481</v>
      </c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</row>
    <row r="1308">
      <c r="A1308" s="12">
        <v>3.66</v>
      </c>
      <c r="B1308" s="12">
        <v>227.9</v>
      </c>
      <c r="C1308" s="12">
        <v>545.0</v>
      </c>
      <c r="D1308" s="12">
        <v>4.47</v>
      </c>
      <c r="E1308" s="12">
        <v>0.65</v>
      </c>
      <c r="F1308" s="12">
        <v>50.0</v>
      </c>
      <c r="G1308" s="13">
        <v>44462.72886981482</v>
      </c>
      <c r="H1308" s="14">
        <f>IFERROR(__xludf.DUMMYFUNCTION("SPLIT(G1308, "", "")"),44462.0)</f>
        <v>44462</v>
      </c>
      <c r="I1308" s="15">
        <f>IFERROR(__xludf.DUMMYFUNCTION("""COMPUTED_VALUE"""),0.7288657407407407)</f>
        <v>0.7288657407</v>
      </c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</row>
    <row r="1309">
      <c r="A1309" s="12">
        <v>3.65</v>
      </c>
      <c r="B1309" s="12">
        <v>228.0</v>
      </c>
      <c r="C1309" s="12">
        <v>545.0</v>
      </c>
      <c r="D1309" s="12">
        <v>4.47</v>
      </c>
      <c r="E1309" s="12">
        <v>0.65</v>
      </c>
      <c r="F1309" s="12">
        <v>50.0</v>
      </c>
      <c r="G1309" s="13">
        <v>44462.72897159722</v>
      </c>
      <c r="H1309" s="14">
        <f>IFERROR(__xludf.DUMMYFUNCTION("SPLIT(G1309, "", "")"),44462.0)</f>
        <v>44462</v>
      </c>
      <c r="I1309" s="15">
        <f>IFERROR(__xludf.DUMMYFUNCTION("""COMPUTED_VALUE"""),0.7289699074074074)</f>
        <v>0.7289699074</v>
      </c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</row>
    <row r="1310">
      <c r="A1310" s="12">
        <v>3.66</v>
      </c>
      <c r="B1310" s="12">
        <v>227.8</v>
      </c>
      <c r="C1310" s="12">
        <v>545.0</v>
      </c>
      <c r="D1310" s="12">
        <v>4.48</v>
      </c>
      <c r="E1310" s="12">
        <v>0.65</v>
      </c>
      <c r="F1310" s="12">
        <v>50.0</v>
      </c>
      <c r="G1310" s="13">
        <v>44462.72907298611</v>
      </c>
      <c r="H1310" s="14">
        <f>IFERROR(__xludf.DUMMYFUNCTION("SPLIT(G1310, "", "")"),44462.0)</f>
        <v>44462</v>
      </c>
      <c r="I1310" s="15">
        <f>IFERROR(__xludf.DUMMYFUNCTION("""COMPUTED_VALUE"""),0.7290740740740741)</f>
        <v>0.7290740741</v>
      </c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</row>
    <row r="1311">
      <c r="A1311" s="12">
        <v>3.66</v>
      </c>
      <c r="B1311" s="12">
        <v>227.8</v>
      </c>
      <c r="C1311" s="12">
        <v>545.0</v>
      </c>
      <c r="D1311" s="12">
        <v>4.48</v>
      </c>
      <c r="E1311" s="12">
        <v>0.65</v>
      </c>
      <c r="F1311" s="12">
        <v>50.0</v>
      </c>
      <c r="G1311" s="13">
        <v>44462.72917533565</v>
      </c>
      <c r="H1311" s="14">
        <f>IFERROR(__xludf.DUMMYFUNCTION("SPLIT(G1311, "", "")"),44462.0)</f>
        <v>44462</v>
      </c>
      <c r="I1311" s="15">
        <f>IFERROR(__xludf.DUMMYFUNCTION("""COMPUTED_VALUE"""),0.7291782407407408)</f>
        <v>0.7291782407</v>
      </c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</row>
    <row r="1312">
      <c r="A1312" s="12">
        <v>3.66</v>
      </c>
      <c r="B1312" s="12">
        <v>227.6</v>
      </c>
      <c r="C1312" s="12">
        <v>545.0</v>
      </c>
      <c r="D1312" s="12">
        <v>4.48</v>
      </c>
      <c r="E1312" s="12">
        <v>0.65</v>
      </c>
      <c r="F1312" s="12">
        <v>50.0</v>
      </c>
      <c r="G1312" s="13">
        <v>44462.729278391205</v>
      </c>
      <c r="H1312" s="14">
        <f>IFERROR(__xludf.DUMMYFUNCTION("SPLIT(G1312, "", "")"),44462.0)</f>
        <v>44462</v>
      </c>
      <c r="I1312" s="15">
        <f>IFERROR(__xludf.DUMMYFUNCTION("""COMPUTED_VALUE"""),0.7292824074074075)</f>
        <v>0.7292824074</v>
      </c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</row>
    <row r="1313">
      <c r="A1313" s="12">
        <v>3.66</v>
      </c>
      <c r="B1313" s="12">
        <v>227.6</v>
      </c>
      <c r="C1313" s="12">
        <v>545.1</v>
      </c>
      <c r="D1313" s="12">
        <v>4.48</v>
      </c>
      <c r="E1313" s="12">
        <v>0.65</v>
      </c>
      <c r="F1313" s="12">
        <v>50.0</v>
      </c>
      <c r="G1313" s="13">
        <v>44462.72938283565</v>
      </c>
      <c r="H1313" s="14">
        <f>IFERROR(__xludf.DUMMYFUNCTION("SPLIT(G1313, "", "")"),44462.0)</f>
        <v>44462</v>
      </c>
      <c r="I1313" s="15">
        <f>IFERROR(__xludf.DUMMYFUNCTION("""COMPUTED_VALUE"""),0.729386574074074)</f>
        <v>0.7293865741</v>
      </c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</row>
    <row r="1314">
      <c r="A1314" s="12">
        <v>3.66</v>
      </c>
      <c r="B1314" s="12">
        <v>227.5</v>
      </c>
      <c r="C1314" s="12">
        <v>545.1</v>
      </c>
      <c r="D1314" s="12">
        <v>4.48</v>
      </c>
      <c r="E1314" s="12">
        <v>0.65</v>
      </c>
      <c r="F1314" s="12">
        <v>49.9</v>
      </c>
      <c r="G1314" s="13">
        <v>44462.72948335648</v>
      </c>
      <c r="H1314" s="14">
        <f>IFERROR(__xludf.DUMMYFUNCTION("SPLIT(G1314, "", "")"),44462.0)</f>
        <v>44462</v>
      </c>
      <c r="I1314" s="15">
        <f>IFERROR(__xludf.DUMMYFUNCTION("""COMPUTED_VALUE"""),0.7294791666666667)</f>
        <v>0.7294791667</v>
      </c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</row>
    <row r="1315">
      <c r="A1315" s="12">
        <v>3.67</v>
      </c>
      <c r="B1315" s="12">
        <v>227.4</v>
      </c>
      <c r="C1315" s="12">
        <v>545.2</v>
      </c>
      <c r="D1315" s="12">
        <v>4.48</v>
      </c>
      <c r="E1315" s="12">
        <v>0.65</v>
      </c>
      <c r="F1315" s="12">
        <v>49.9</v>
      </c>
      <c r="G1315" s="13">
        <v>44462.7295887963</v>
      </c>
      <c r="H1315" s="14">
        <f>IFERROR(__xludf.DUMMYFUNCTION("SPLIT(G1315, "", "")"),44462.0)</f>
        <v>44462</v>
      </c>
      <c r="I1315" s="15">
        <f>IFERROR(__xludf.DUMMYFUNCTION("""COMPUTED_VALUE"""),0.7295833333333334)</f>
        <v>0.7295833333</v>
      </c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</row>
    <row r="1316">
      <c r="A1316" s="12">
        <v>3.66</v>
      </c>
      <c r="B1316" s="12">
        <v>227.4</v>
      </c>
      <c r="C1316" s="12">
        <v>545.2</v>
      </c>
      <c r="D1316" s="12">
        <v>4.49</v>
      </c>
      <c r="E1316" s="12">
        <v>0.65</v>
      </c>
      <c r="F1316" s="12">
        <v>49.9</v>
      </c>
      <c r="G1316" s="13">
        <v>44462.72969550926</v>
      </c>
      <c r="H1316" s="14">
        <f>IFERROR(__xludf.DUMMYFUNCTION("SPLIT(G1316, "", "")"),44462.0)</f>
        <v>44462</v>
      </c>
      <c r="I1316" s="15">
        <f>IFERROR(__xludf.DUMMYFUNCTION("""COMPUTED_VALUE"""),0.7296990740740741)</f>
        <v>0.7296990741</v>
      </c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</row>
    <row r="1317">
      <c r="A1317" s="12">
        <v>3.66</v>
      </c>
      <c r="B1317" s="12">
        <v>227.4</v>
      </c>
      <c r="C1317" s="12">
        <v>545.2</v>
      </c>
      <c r="D1317" s="12">
        <v>4.49</v>
      </c>
      <c r="E1317" s="12">
        <v>0.65</v>
      </c>
      <c r="F1317" s="12">
        <v>49.9</v>
      </c>
      <c r="G1317" s="13">
        <v>44462.72979655092</v>
      </c>
      <c r="H1317" s="14">
        <f>IFERROR(__xludf.DUMMYFUNCTION("SPLIT(G1317, "", "")"),44462.0)</f>
        <v>44462</v>
      </c>
      <c r="I1317" s="15">
        <f>IFERROR(__xludf.DUMMYFUNCTION("""COMPUTED_VALUE"""),0.7297916666666666)</f>
        <v>0.7297916667</v>
      </c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</row>
    <row r="1318">
      <c r="A1318" s="12">
        <v>3.66</v>
      </c>
      <c r="B1318" s="12">
        <v>227.5</v>
      </c>
      <c r="C1318" s="12">
        <v>545.3</v>
      </c>
      <c r="D1318" s="12">
        <v>4.49</v>
      </c>
      <c r="E1318" s="12">
        <v>0.65</v>
      </c>
      <c r="F1318" s="12">
        <v>49.9</v>
      </c>
      <c r="G1318" s="13">
        <v>44462.729897847224</v>
      </c>
      <c r="H1318" s="14">
        <f>IFERROR(__xludf.DUMMYFUNCTION("SPLIT(G1318, "", "")"),44462.0)</f>
        <v>44462</v>
      </c>
      <c r="I1318" s="15">
        <f>IFERROR(__xludf.DUMMYFUNCTION("""COMPUTED_VALUE"""),0.7298958333333333)</f>
        <v>0.7298958333</v>
      </c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</row>
    <row r="1319">
      <c r="A1319" s="12">
        <v>3.66</v>
      </c>
      <c r="B1319" s="12">
        <v>227.4</v>
      </c>
      <c r="C1319" s="12">
        <v>545.3</v>
      </c>
      <c r="D1319" s="12">
        <v>4.49</v>
      </c>
      <c r="E1319" s="12">
        <v>0.65</v>
      </c>
      <c r="F1319" s="12">
        <v>49.9</v>
      </c>
      <c r="G1319" s="13">
        <v>44462.729999814816</v>
      </c>
      <c r="H1319" s="14">
        <f>IFERROR(__xludf.DUMMYFUNCTION("SPLIT(G1319, "", "")"),44462.0)</f>
        <v>44462</v>
      </c>
      <c r="I1319" s="15">
        <f>IFERROR(__xludf.DUMMYFUNCTION("""COMPUTED_VALUE"""),0.73)</f>
        <v>0.73</v>
      </c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</row>
    <row r="1320">
      <c r="A1320" s="12">
        <v>3.66</v>
      </c>
      <c r="B1320" s="12">
        <v>227.5</v>
      </c>
      <c r="C1320" s="12">
        <v>545.4</v>
      </c>
      <c r="D1320" s="12">
        <v>4.49</v>
      </c>
      <c r="E1320" s="12">
        <v>0.65</v>
      </c>
      <c r="F1320" s="12">
        <v>49.9</v>
      </c>
      <c r="G1320" s="13">
        <v>44462.73010271991</v>
      </c>
      <c r="H1320" s="14">
        <f>IFERROR(__xludf.DUMMYFUNCTION("SPLIT(G1320, "", "")"),44462.0)</f>
        <v>44462</v>
      </c>
      <c r="I1320" s="15">
        <f>IFERROR(__xludf.DUMMYFUNCTION("""COMPUTED_VALUE"""),0.7301041666666667)</f>
        <v>0.7301041667</v>
      </c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</row>
    <row r="1321">
      <c r="A1321" s="12">
        <v>3.66</v>
      </c>
      <c r="B1321" s="12">
        <v>227.6</v>
      </c>
      <c r="C1321" s="12">
        <v>545.4</v>
      </c>
      <c r="D1321" s="12">
        <v>4.49</v>
      </c>
      <c r="E1321" s="12">
        <v>0.65</v>
      </c>
      <c r="F1321" s="12">
        <v>49.9</v>
      </c>
      <c r="G1321" s="13">
        <v>44462.73020521991</v>
      </c>
      <c r="H1321" s="14">
        <f>IFERROR(__xludf.DUMMYFUNCTION("SPLIT(G1321, "", "")"),44462.0)</f>
        <v>44462</v>
      </c>
      <c r="I1321" s="15">
        <f>IFERROR(__xludf.DUMMYFUNCTION("""COMPUTED_VALUE"""),0.7302083333333333)</f>
        <v>0.7302083333</v>
      </c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</row>
    <row r="1322">
      <c r="A1322" s="12">
        <v>3.66</v>
      </c>
      <c r="B1322" s="12">
        <v>227.7</v>
      </c>
      <c r="C1322" s="12">
        <v>545.4</v>
      </c>
      <c r="D1322" s="12">
        <v>4.49</v>
      </c>
      <c r="E1322" s="12">
        <v>0.65</v>
      </c>
      <c r="F1322" s="12">
        <v>49.9</v>
      </c>
      <c r="G1322" s="13">
        <v>44462.73030688657</v>
      </c>
      <c r="H1322" s="14">
        <f>IFERROR(__xludf.DUMMYFUNCTION("SPLIT(G1322, "", "")"),44462.0)</f>
        <v>44462</v>
      </c>
      <c r="I1322" s="15">
        <f>IFERROR(__xludf.DUMMYFUNCTION("""COMPUTED_VALUE"""),0.7303125)</f>
        <v>0.7303125</v>
      </c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</row>
    <row r="1323">
      <c r="A1323" s="12">
        <v>3.66</v>
      </c>
      <c r="B1323" s="12">
        <v>227.7</v>
      </c>
      <c r="C1323" s="12">
        <v>545.4</v>
      </c>
      <c r="D1323" s="12">
        <v>4.49</v>
      </c>
      <c r="E1323" s="12">
        <v>0.65</v>
      </c>
      <c r="F1323" s="12">
        <v>50.0</v>
      </c>
      <c r="G1323" s="13">
        <v>44462.73040760416</v>
      </c>
      <c r="H1323" s="14">
        <f>IFERROR(__xludf.DUMMYFUNCTION("SPLIT(G1323, "", "")"),44462.0)</f>
        <v>44462</v>
      </c>
      <c r="I1323" s="15">
        <f>IFERROR(__xludf.DUMMYFUNCTION("""COMPUTED_VALUE"""),0.7304050925925926)</f>
        <v>0.7304050926</v>
      </c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</row>
    <row r="1324">
      <c r="A1324" s="12">
        <v>3.66</v>
      </c>
      <c r="B1324" s="12">
        <v>227.8</v>
      </c>
      <c r="C1324" s="12">
        <v>545.5</v>
      </c>
      <c r="D1324" s="12">
        <v>4.49</v>
      </c>
      <c r="E1324" s="12">
        <v>0.65</v>
      </c>
      <c r="F1324" s="12">
        <v>50.0</v>
      </c>
      <c r="G1324" s="13">
        <v>44462.730507615735</v>
      </c>
      <c r="H1324" s="14">
        <f>IFERROR(__xludf.DUMMYFUNCTION("SPLIT(G1324, "", "")"),44462.0)</f>
        <v>44462</v>
      </c>
      <c r="I1324" s="15">
        <f>IFERROR(__xludf.DUMMYFUNCTION("""COMPUTED_VALUE"""),0.7305092592592592)</f>
        <v>0.7305092593</v>
      </c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</row>
    <row r="1325">
      <c r="A1325" s="12">
        <v>3.67</v>
      </c>
      <c r="B1325" s="12">
        <v>227.7</v>
      </c>
      <c r="C1325" s="12">
        <v>545.5</v>
      </c>
      <c r="D1325" s="12">
        <v>4.5</v>
      </c>
      <c r="E1325" s="12">
        <v>0.65</v>
      </c>
      <c r="F1325" s="12">
        <v>50.0</v>
      </c>
      <c r="G1325" s="13">
        <v>44462.73060814815</v>
      </c>
      <c r="H1325" s="14">
        <f>IFERROR(__xludf.DUMMYFUNCTION("SPLIT(G1325, "", "")"),44462.0)</f>
        <v>44462</v>
      </c>
      <c r="I1325" s="15">
        <f>IFERROR(__xludf.DUMMYFUNCTION("""COMPUTED_VALUE"""),0.7306134259259259)</f>
        <v>0.7306134259</v>
      </c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</row>
    <row r="1326">
      <c r="A1326" s="12">
        <v>3.67</v>
      </c>
      <c r="B1326" s="12">
        <v>227.7</v>
      </c>
      <c r="C1326" s="12">
        <v>545.6</v>
      </c>
      <c r="D1326" s="12">
        <v>4.5</v>
      </c>
      <c r="E1326" s="12">
        <v>0.65</v>
      </c>
      <c r="F1326" s="12">
        <v>50.0</v>
      </c>
      <c r="G1326" s="13">
        <v>44462.73071398148</v>
      </c>
      <c r="H1326" s="14">
        <f>IFERROR(__xludf.DUMMYFUNCTION("SPLIT(G1326, "", "")"),44462.0)</f>
        <v>44462</v>
      </c>
      <c r="I1326" s="15">
        <f>IFERROR(__xludf.DUMMYFUNCTION("""COMPUTED_VALUE"""),0.7307175925925926)</f>
        <v>0.7307175926</v>
      </c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</row>
    <row r="1327">
      <c r="A1327" s="12">
        <v>3.14</v>
      </c>
      <c r="B1327" s="12">
        <v>228.4</v>
      </c>
      <c r="C1327" s="12">
        <v>461.8</v>
      </c>
      <c r="D1327" s="12">
        <v>4.56</v>
      </c>
      <c r="E1327" s="12">
        <v>0.64</v>
      </c>
      <c r="F1327" s="12">
        <v>50.0</v>
      </c>
      <c r="G1327" s="13">
        <v>44462.73552768519</v>
      </c>
      <c r="H1327" s="14">
        <f>IFERROR(__xludf.DUMMYFUNCTION("SPLIT(G1327, "", "")"),44462.0)</f>
        <v>44462</v>
      </c>
      <c r="I1327" s="15">
        <f>IFERROR(__xludf.DUMMYFUNCTION("""COMPUTED_VALUE"""),0.7355324074074074)</f>
        <v>0.7355324074</v>
      </c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</row>
    <row r="1328">
      <c r="A1328" s="12">
        <v>3.14</v>
      </c>
      <c r="B1328" s="12">
        <v>228.4</v>
      </c>
      <c r="C1328" s="12">
        <v>461.8</v>
      </c>
      <c r="D1328" s="12">
        <v>4.56</v>
      </c>
      <c r="E1328" s="12">
        <v>0.64</v>
      </c>
      <c r="F1328" s="12">
        <v>50.0</v>
      </c>
      <c r="G1328" s="13">
        <v>44462.73557128472</v>
      </c>
      <c r="H1328" s="14">
        <f>IFERROR(__xludf.DUMMYFUNCTION("SPLIT(G1328, "", "")"),44462.0)</f>
        <v>44462</v>
      </c>
      <c r="I1328" s="15">
        <f>IFERROR(__xludf.DUMMYFUNCTION("""COMPUTED_VALUE"""),0.7355671296296297)</f>
        <v>0.7355671296</v>
      </c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</row>
    <row r="1329">
      <c r="A1329" s="12">
        <v>3.11</v>
      </c>
      <c r="B1329" s="12">
        <v>228.6</v>
      </c>
      <c r="C1329" s="12">
        <v>458.5</v>
      </c>
      <c r="D1329" s="12">
        <v>4.56</v>
      </c>
      <c r="E1329" s="12">
        <v>0.65</v>
      </c>
      <c r="F1329" s="12">
        <v>50.0</v>
      </c>
      <c r="G1329" s="13">
        <v>44462.735671875</v>
      </c>
      <c r="H1329" s="14">
        <f>IFERROR(__xludf.DUMMYFUNCTION("SPLIT(G1329, "", "")"),44462.0)</f>
        <v>44462</v>
      </c>
      <c r="I1329" s="15">
        <f>IFERROR(__xludf.DUMMYFUNCTION("""COMPUTED_VALUE"""),0.7356712962962964)</f>
        <v>0.7356712963</v>
      </c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</row>
    <row r="1330">
      <c r="A1330" s="12">
        <v>3.1</v>
      </c>
      <c r="B1330" s="12">
        <v>228.7</v>
      </c>
      <c r="C1330" s="12">
        <v>456.7</v>
      </c>
      <c r="D1330" s="12">
        <v>4.56</v>
      </c>
      <c r="E1330" s="12">
        <v>0.64</v>
      </c>
      <c r="F1330" s="12">
        <v>50.0</v>
      </c>
      <c r="G1330" s="13">
        <v>44462.735768831015</v>
      </c>
      <c r="H1330" s="14">
        <f>IFERROR(__xludf.DUMMYFUNCTION("SPLIT(G1330, "", "")"),44462.0)</f>
        <v>44462</v>
      </c>
      <c r="I1330" s="15">
        <f>IFERROR(__xludf.DUMMYFUNCTION("""COMPUTED_VALUE"""),0.7357638888888889)</f>
        <v>0.7357638889</v>
      </c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</row>
    <row r="1331">
      <c r="A1331" s="12">
        <v>3.09</v>
      </c>
      <c r="B1331" s="12">
        <v>228.6</v>
      </c>
      <c r="C1331" s="12">
        <v>455.0</v>
      </c>
      <c r="D1331" s="12">
        <v>4.56</v>
      </c>
      <c r="E1331" s="12">
        <v>0.64</v>
      </c>
      <c r="F1331" s="12">
        <v>50.0</v>
      </c>
      <c r="G1331" s="13">
        <v>44462.73586554398</v>
      </c>
      <c r="H1331" s="14">
        <f>IFERROR(__xludf.DUMMYFUNCTION("SPLIT(G1331, "", "")"),44462.0)</f>
        <v>44462</v>
      </c>
      <c r="I1331" s="15">
        <f>IFERROR(__xludf.DUMMYFUNCTION("""COMPUTED_VALUE"""),0.7358680555555556)</f>
        <v>0.7358680556</v>
      </c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</row>
    <row r="1332">
      <c r="A1332" s="12">
        <v>3.07</v>
      </c>
      <c r="B1332" s="12">
        <v>228.5</v>
      </c>
      <c r="C1332" s="12">
        <v>453.1</v>
      </c>
      <c r="D1332" s="12">
        <v>4.56</v>
      </c>
      <c r="E1332" s="12">
        <v>0.65</v>
      </c>
      <c r="F1332" s="12">
        <v>50.0</v>
      </c>
      <c r="G1332" s="13">
        <v>44462.73596178241</v>
      </c>
      <c r="H1332" s="14">
        <f>IFERROR(__xludf.DUMMYFUNCTION("SPLIT(G1332, "", "")"),44462.0)</f>
        <v>44462</v>
      </c>
      <c r="I1332" s="15">
        <f>IFERROR(__xludf.DUMMYFUNCTION("""COMPUTED_VALUE"""),0.7359606481481481)</f>
        <v>0.7359606481</v>
      </c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</row>
    <row r="1333">
      <c r="A1333" s="12">
        <v>3.06</v>
      </c>
      <c r="B1333" s="12">
        <v>228.5</v>
      </c>
      <c r="C1333" s="12">
        <v>451.4</v>
      </c>
      <c r="D1333" s="12">
        <v>4.56</v>
      </c>
      <c r="E1333" s="12">
        <v>0.64</v>
      </c>
      <c r="F1333" s="12">
        <v>50.0</v>
      </c>
      <c r="G1333" s="13">
        <v>44462.73605982639</v>
      </c>
      <c r="H1333" s="14">
        <f>IFERROR(__xludf.DUMMYFUNCTION("SPLIT(G1333, "", "")"),44462.0)</f>
        <v>44462</v>
      </c>
      <c r="I1333" s="15">
        <f>IFERROR(__xludf.DUMMYFUNCTION("""COMPUTED_VALUE"""),0.7360648148148148)</f>
        <v>0.7360648148</v>
      </c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</row>
    <row r="1334">
      <c r="A1334" s="12">
        <v>3.05</v>
      </c>
      <c r="B1334" s="12">
        <v>228.3</v>
      </c>
      <c r="C1334" s="12">
        <v>449.5</v>
      </c>
      <c r="D1334" s="12">
        <v>4.56</v>
      </c>
      <c r="E1334" s="12">
        <v>0.64</v>
      </c>
      <c r="F1334" s="12">
        <v>50.0</v>
      </c>
      <c r="G1334" s="13">
        <v>44462.73616208333</v>
      </c>
      <c r="H1334" s="14">
        <f>IFERROR(__xludf.DUMMYFUNCTION("SPLIT(G1334, "", "")"),44462.0)</f>
        <v>44462</v>
      </c>
      <c r="I1334" s="15">
        <f>IFERROR(__xludf.DUMMYFUNCTION("""COMPUTED_VALUE"""),0.7361574074074074)</f>
        <v>0.7361574074</v>
      </c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</row>
    <row r="1335">
      <c r="A1335" s="12">
        <v>3.04</v>
      </c>
      <c r="B1335" s="12">
        <v>228.2</v>
      </c>
      <c r="C1335" s="12">
        <v>447.6</v>
      </c>
      <c r="D1335" s="12">
        <v>4.57</v>
      </c>
      <c r="E1335" s="12">
        <v>0.64</v>
      </c>
      <c r="F1335" s="12">
        <v>49.9</v>
      </c>
      <c r="G1335" s="13">
        <v>44462.7362694676</v>
      </c>
      <c r="H1335" s="14">
        <f>IFERROR(__xludf.DUMMYFUNCTION("SPLIT(G1335, "", "")"),44462.0)</f>
        <v>44462</v>
      </c>
      <c r="I1335" s="15">
        <f>IFERROR(__xludf.DUMMYFUNCTION("""COMPUTED_VALUE"""),0.7362731481481481)</f>
        <v>0.7362731481</v>
      </c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</row>
    <row r="1336">
      <c r="A1336" s="12">
        <v>3.03</v>
      </c>
      <c r="B1336" s="12">
        <v>228.3</v>
      </c>
      <c r="C1336" s="12">
        <v>445.7</v>
      </c>
      <c r="D1336" s="12">
        <v>4.57</v>
      </c>
      <c r="E1336" s="12">
        <v>0.64</v>
      </c>
      <c r="F1336" s="12">
        <v>50.0</v>
      </c>
      <c r="G1336" s="13">
        <v>44462.73637100695</v>
      </c>
      <c r="H1336" s="14">
        <f>IFERROR(__xludf.DUMMYFUNCTION("SPLIT(G1336, "", "")"),44462.0)</f>
        <v>44462</v>
      </c>
      <c r="I1336" s="15">
        <f>IFERROR(__xludf.DUMMYFUNCTION("""COMPUTED_VALUE"""),0.7363657407407408)</f>
        <v>0.7363657407</v>
      </c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</row>
    <row r="1337">
      <c r="A1337" s="12">
        <v>3.03</v>
      </c>
      <c r="B1337" s="12">
        <v>227.4</v>
      </c>
      <c r="C1337" s="12">
        <v>443.8</v>
      </c>
      <c r="D1337" s="12">
        <v>4.57</v>
      </c>
      <c r="E1337" s="12">
        <v>0.64</v>
      </c>
      <c r="F1337" s="12">
        <v>50.0</v>
      </c>
      <c r="G1337" s="13">
        <v>44462.73647903935</v>
      </c>
      <c r="H1337" s="14">
        <f>IFERROR(__xludf.DUMMYFUNCTION("SPLIT(G1337, "", "")"),44462.0)</f>
        <v>44462</v>
      </c>
      <c r="I1337" s="15">
        <f>IFERROR(__xludf.DUMMYFUNCTION("""COMPUTED_VALUE"""),0.7364814814814815)</f>
        <v>0.7364814815</v>
      </c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</row>
    <row r="1338">
      <c r="A1338" s="12">
        <v>3.02</v>
      </c>
      <c r="B1338" s="12">
        <v>227.3</v>
      </c>
      <c r="C1338" s="12">
        <v>442.0</v>
      </c>
      <c r="D1338" s="12">
        <v>4.57</v>
      </c>
      <c r="E1338" s="12">
        <v>0.64</v>
      </c>
      <c r="F1338" s="12">
        <v>50.0</v>
      </c>
      <c r="G1338" s="13">
        <v>44462.73658064815</v>
      </c>
      <c r="H1338" s="14">
        <f>IFERROR(__xludf.DUMMYFUNCTION("SPLIT(G1338, "", "")"),44462.0)</f>
        <v>44462</v>
      </c>
      <c r="I1338" s="15">
        <f>IFERROR(__xludf.DUMMYFUNCTION("""COMPUTED_VALUE"""),0.7365856481481482)</f>
        <v>0.7365856481</v>
      </c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</row>
    <row r="1339">
      <c r="A1339" s="12">
        <v>3.01</v>
      </c>
      <c r="B1339" s="12">
        <v>227.4</v>
      </c>
      <c r="C1339" s="12">
        <v>440.0</v>
      </c>
      <c r="D1339" s="12">
        <v>4.57</v>
      </c>
      <c r="E1339" s="12">
        <v>0.64</v>
      </c>
      <c r="F1339" s="12">
        <v>50.0</v>
      </c>
      <c r="G1339" s="13">
        <v>44462.73668403935</v>
      </c>
      <c r="H1339" s="14">
        <f>IFERROR(__xludf.DUMMYFUNCTION("SPLIT(G1339, "", "")"),44462.0)</f>
        <v>44462</v>
      </c>
      <c r="I1339" s="15">
        <f>IFERROR(__xludf.DUMMYFUNCTION("""COMPUTED_VALUE"""),0.7366898148148148)</f>
        <v>0.7366898148</v>
      </c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</row>
    <row r="1340">
      <c r="A1340" s="12">
        <v>3.0</v>
      </c>
      <c r="B1340" s="12">
        <v>227.4</v>
      </c>
      <c r="C1340" s="12">
        <v>438.2</v>
      </c>
      <c r="D1340" s="12">
        <v>4.57</v>
      </c>
      <c r="E1340" s="12">
        <v>0.64</v>
      </c>
      <c r="F1340" s="12">
        <v>49.9</v>
      </c>
      <c r="G1340" s="13">
        <v>44462.73678510416</v>
      </c>
      <c r="H1340" s="14">
        <f>IFERROR(__xludf.DUMMYFUNCTION("SPLIT(G1340, "", "")"),44462.0)</f>
        <v>44462</v>
      </c>
      <c r="I1340" s="15">
        <f>IFERROR(__xludf.DUMMYFUNCTION("""COMPUTED_VALUE"""),0.7367824074074074)</f>
        <v>0.7367824074</v>
      </c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</row>
    <row r="1341">
      <c r="A1341" s="12">
        <v>2.99</v>
      </c>
      <c r="B1341" s="12">
        <v>227.4</v>
      </c>
      <c r="C1341" s="12">
        <v>436.1</v>
      </c>
      <c r="D1341" s="12">
        <v>4.57</v>
      </c>
      <c r="E1341" s="12">
        <v>0.64</v>
      </c>
      <c r="F1341" s="12">
        <v>49.9</v>
      </c>
      <c r="G1341" s="13">
        <v>44462.73688229166</v>
      </c>
      <c r="H1341" s="14">
        <f>IFERROR(__xludf.DUMMYFUNCTION("SPLIT(G1341, "", "")"),44462.0)</f>
        <v>44462</v>
      </c>
      <c r="I1341" s="15">
        <f>IFERROR(__xludf.DUMMYFUNCTION("""COMPUTED_VALUE"""),0.7368865740740741)</f>
        <v>0.7368865741</v>
      </c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</row>
    <row r="1342">
      <c r="A1342" s="12">
        <v>2.97</v>
      </c>
      <c r="B1342" s="12">
        <v>227.5</v>
      </c>
      <c r="C1342" s="12">
        <v>434.0</v>
      </c>
      <c r="D1342" s="12">
        <v>4.57</v>
      </c>
      <c r="E1342" s="12">
        <v>0.64</v>
      </c>
      <c r="F1342" s="12">
        <v>49.9</v>
      </c>
      <c r="G1342" s="13">
        <v>44462.736986840275</v>
      </c>
      <c r="H1342" s="14">
        <f>IFERROR(__xludf.DUMMYFUNCTION("SPLIT(G1342, "", "")"),44462.0)</f>
        <v>44462</v>
      </c>
      <c r="I1342" s="15">
        <f>IFERROR(__xludf.DUMMYFUNCTION("""COMPUTED_VALUE"""),0.7369907407407408)</f>
        <v>0.7369907407</v>
      </c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</row>
    <row r="1343">
      <c r="A1343" s="12">
        <v>2.96</v>
      </c>
      <c r="B1343" s="12">
        <v>227.6</v>
      </c>
      <c r="C1343" s="12">
        <v>432.5</v>
      </c>
      <c r="D1343" s="12">
        <v>4.57</v>
      </c>
      <c r="E1343" s="12">
        <v>0.64</v>
      </c>
      <c r="F1343" s="12">
        <v>49.9</v>
      </c>
      <c r="G1343" s="13">
        <v>44462.737090069444</v>
      </c>
      <c r="H1343" s="14">
        <f>IFERROR(__xludf.DUMMYFUNCTION("SPLIT(G1343, "", "")"),44462.0)</f>
        <v>44462</v>
      </c>
      <c r="I1343" s="15">
        <f>IFERROR(__xludf.DUMMYFUNCTION("""COMPUTED_VALUE"""),0.7370949074074075)</f>
        <v>0.7370949074</v>
      </c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</row>
    <row r="1344">
      <c r="A1344" s="12">
        <v>2.94</v>
      </c>
      <c r="B1344" s="12">
        <v>227.8</v>
      </c>
      <c r="C1344" s="12">
        <v>430.3</v>
      </c>
      <c r="D1344" s="12">
        <v>4.57</v>
      </c>
      <c r="E1344" s="12">
        <v>0.64</v>
      </c>
      <c r="F1344" s="12">
        <v>49.9</v>
      </c>
      <c r="G1344" s="13">
        <v>44462.737195381946</v>
      </c>
      <c r="H1344" s="14">
        <f>IFERROR(__xludf.DUMMYFUNCTION("SPLIT(G1344, "", "")"),44462.0)</f>
        <v>44462</v>
      </c>
      <c r="I1344" s="15">
        <f>IFERROR(__xludf.DUMMYFUNCTION("""COMPUTED_VALUE"""),0.737199074074074)</f>
        <v>0.7371990741</v>
      </c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</row>
    <row r="1345">
      <c r="A1345" s="12">
        <v>2.94</v>
      </c>
      <c r="B1345" s="12">
        <v>227.9</v>
      </c>
      <c r="C1345" s="12">
        <v>428.4</v>
      </c>
      <c r="D1345" s="12">
        <v>4.57</v>
      </c>
      <c r="E1345" s="12">
        <v>0.64</v>
      </c>
      <c r="F1345" s="12">
        <v>50.0</v>
      </c>
      <c r="G1345" s="13">
        <v>44462.73730440972</v>
      </c>
      <c r="H1345" s="14">
        <f>IFERROR(__xludf.DUMMYFUNCTION("SPLIT(G1345, "", "")"),44462.0)</f>
        <v>44462</v>
      </c>
      <c r="I1345" s="15">
        <f>IFERROR(__xludf.DUMMYFUNCTION("""COMPUTED_VALUE"""),0.7373032407407407)</f>
        <v>0.7373032407</v>
      </c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</row>
    <row r="1346">
      <c r="A1346" s="12">
        <v>2.92</v>
      </c>
      <c r="B1346" s="12">
        <v>227.6</v>
      </c>
      <c r="C1346" s="12">
        <v>426.2</v>
      </c>
      <c r="D1346" s="12">
        <v>4.58</v>
      </c>
      <c r="E1346" s="12">
        <v>0.64</v>
      </c>
      <c r="F1346" s="12">
        <v>50.0</v>
      </c>
      <c r="G1346" s="13">
        <v>44462.737406851855</v>
      </c>
      <c r="H1346" s="14">
        <f>IFERROR(__xludf.DUMMYFUNCTION("SPLIT(G1346, "", "")"),44462.0)</f>
        <v>44462</v>
      </c>
      <c r="I1346" s="15">
        <f>IFERROR(__xludf.DUMMYFUNCTION("""COMPUTED_VALUE"""),0.7374074074074074)</f>
        <v>0.7374074074</v>
      </c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</row>
    <row r="1347">
      <c r="A1347" s="12">
        <v>2.91</v>
      </c>
      <c r="B1347" s="12">
        <v>227.7</v>
      </c>
      <c r="C1347" s="12">
        <v>424.2</v>
      </c>
      <c r="D1347" s="12">
        <v>4.58</v>
      </c>
      <c r="E1347" s="12">
        <v>0.64</v>
      </c>
      <c r="F1347" s="12">
        <v>50.0</v>
      </c>
      <c r="G1347" s="13">
        <v>44462.737508182865</v>
      </c>
      <c r="H1347" s="14">
        <f>IFERROR(__xludf.DUMMYFUNCTION("SPLIT(G1347, "", "")"),44462.0)</f>
        <v>44462</v>
      </c>
      <c r="I1347" s="15">
        <f>IFERROR(__xludf.DUMMYFUNCTION("""COMPUTED_VALUE"""),0.7375115740740741)</f>
        <v>0.7375115741</v>
      </c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</row>
    <row r="1348">
      <c r="A1348" s="12">
        <v>2.9</v>
      </c>
      <c r="B1348" s="12">
        <v>227.6</v>
      </c>
      <c r="C1348" s="12">
        <v>421.8</v>
      </c>
      <c r="D1348" s="12">
        <v>4.58</v>
      </c>
      <c r="E1348" s="12">
        <v>0.64</v>
      </c>
      <c r="F1348" s="12">
        <v>50.0</v>
      </c>
      <c r="G1348" s="13">
        <v>44462.7376399537</v>
      </c>
      <c r="H1348" s="14">
        <f>IFERROR(__xludf.DUMMYFUNCTION("SPLIT(G1348, "", "")"),44462.0)</f>
        <v>44462</v>
      </c>
      <c r="I1348" s="15">
        <f>IFERROR(__xludf.DUMMYFUNCTION("""COMPUTED_VALUE"""),0.7376388888888888)</f>
        <v>0.7376388889</v>
      </c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</row>
    <row r="1349">
      <c r="A1349" s="12">
        <v>2.89</v>
      </c>
      <c r="B1349" s="12">
        <v>227.6</v>
      </c>
      <c r="C1349" s="12">
        <v>419.8</v>
      </c>
      <c r="D1349" s="12">
        <v>4.58</v>
      </c>
      <c r="E1349" s="12">
        <v>0.64</v>
      </c>
      <c r="F1349" s="12">
        <v>49.9</v>
      </c>
      <c r="G1349" s="13">
        <v>44462.73773965277</v>
      </c>
      <c r="H1349" s="14">
        <f>IFERROR(__xludf.DUMMYFUNCTION("SPLIT(G1349, "", "")"),44462.0)</f>
        <v>44462</v>
      </c>
      <c r="I1349" s="15">
        <f>IFERROR(__xludf.DUMMYFUNCTION("""COMPUTED_VALUE"""),0.7377430555555555)</f>
        <v>0.7377430556</v>
      </c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</row>
    <row r="1350">
      <c r="A1350" s="12">
        <v>2.87</v>
      </c>
      <c r="B1350" s="12">
        <v>227.9</v>
      </c>
      <c r="C1350" s="12">
        <v>417.9</v>
      </c>
      <c r="D1350" s="12">
        <v>4.58</v>
      </c>
      <c r="E1350" s="12">
        <v>0.64</v>
      </c>
      <c r="F1350" s="12">
        <v>49.9</v>
      </c>
      <c r="G1350" s="13">
        <v>44462.73784230324</v>
      </c>
      <c r="H1350" s="14">
        <f>IFERROR(__xludf.DUMMYFUNCTION("SPLIT(G1350, "", "")"),44462.0)</f>
        <v>44462</v>
      </c>
      <c r="I1350" s="15">
        <f>IFERROR(__xludf.DUMMYFUNCTION("""COMPUTED_VALUE"""),0.7378472222222222)</f>
        <v>0.7378472222</v>
      </c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</row>
    <row r="1351">
      <c r="A1351" s="12">
        <v>2.88</v>
      </c>
      <c r="B1351" s="12">
        <v>227.9</v>
      </c>
      <c r="C1351" s="12">
        <v>415.9</v>
      </c>
      <c r="D1351" s="12">
        <v>4.58</v>
      </c>
      <c r="E1351" s="12">
        <v>0.63</v>
      </c>
      <c r="F1351" s="12">
        <v>49.9</v>
      </c>
      <c r="G1351" s="13">
        <v>44462.73794364583</v>
      </c>
      <c r="H1351" s="14">
        <f>IFERROR(__xludf.DUMMYFUNCTION("SPLIT(G1351, "", "")"),44462.0)</f>
        <v>44462</v>
      </c>
      <c r="I1351" s="15">
        <f>IFERROR(__xludf.DUMMYFUNCTION("""COMPUTED_VALUE"""),0.7379398148148149)</f>
        <v>0.7379398148</v>
      </c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</row>
    <row r="1352">
      <c r="A1352" s="12">
        <v>2.87</v>
      </c>
      <c r="B1352" s="12">
        <v>227.8</v>
      </c>
      <c r="C1352" s="12">
        <v>413.8</v>
      </c>
      <c r="D1352" s="12">
        <v>4.58</v>
      </c>
      <c r="E1352" s="12">
        <v>0.63</v>
      </c>
      <c r="F1352" s="12">
        <v>49.9</v>
      </c>
      <c r="G1352" s="13">
        <v>44462.73804851851</v>
      </c>
      <c r="H1352" s="14">
        <f>IFERROR(__xludf.DUMMYFUNCTION("SPLIT(G1352, "", "")"),44462.0)</f>
        <v>44462</v>
      </c>
      <c r="I1352" s="15">
        <f>IFERROR(__xludf.DUMMYFUNCTION("""COMPUTED_VALUE"""),0.7380439814814815)</f>
        <v>0.7380439815</v>
      </c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</row>
    <row r="1353">
      <c r="A1353" s="12">
        <v>2.85</v>
      </c>
      <c r="B1353" s="12">
        <v>227.9</v>
      </c>
      <c r="C1353" s="12">
        <v>411.6</v>
      </c>
      <c r="D1353" s="12">
        <v>4.58</v>
      </c>
      <c r="E1353" s="12">
        <v>0.63</v>
      </c>
      <c r="F1353" s="12">
        <v>50.0</v>
      </c>
      <c r="G1353" s="13">
        <v>44462.73815635417</v>
      </c>
      <c r="H1353" s="14">
        <f>IFERROR(__xludf.DUMMYFUNCTION("SPLIT(G1353, "", "")"),44462.0)</f>
        <v>44462</v>
      </c>
      <c r="I1353" s="15">
        <f>IFERROR(__xludf.DUMMYFUNCTION("""COMPUTED_VALUE"""),0.7381597222222223)</f>
        <v>0.7381597222</v>
      </c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</row>
    <row r="1354">
      <c r="A1354" s="12">
        <v>2.84</v>
      </c>
      <c r="B1354" s="12">
        <v>227.9</v>
      </c>
      <c r="C1354" s="12">
        <v>409.2</v>
      </c>
      <c r="D1354" s="12">
        <v>4.59</v>
      </c>
      <c r="E1354" s="12">
        <v>0.63</v>
      </c>
      <c r="F1354" s="12">
        <v>50.0</v>
      </c>
      <c r="G1354" s="13">
        <v>44462.73826219907</v>
      </c>
      <c r="H1354" s="14">
        <f>IFERROR(__xludf.DUMMYFUNCTION("SPLIT(G1354, "", "")"),44462.0)</f>
        <v>44462</v>
      </c>
      <c r="I1354" s="15">
        <f>IFERROR(__xludf.DUMMYFUNCTION("""COMPUTED_VALUE"""),0.7382638888888889)</f>
        <v>0.7382638889</v>
      </c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</row>
    <row r="1355">
      <c r="A1355" s="12">
        <v>2.81</v>
      </c>
      <c r="B1355" s="12">
        <v>228.0</v>
      </c>
      <c r="C1355" s="12">
        <v>407.1</v>
      </c>
      <c r="D1355" s="12">
        <v>4.59</v>
      </c>
      <c r="E1355" s="12">
        <v>0.64</v>
      </c>
      <c r="F1355" s="12">
        <v>50.0</v>
      </c>
      <c r="G1355" s="13">
        <v>44462.73836167824</v>
      </c>
      <c r="H1355" s="14">
        <f>IFERROR(__xludf.DUMMYFUNCTION("SPLIT(G1355, "", "")"),44462.0)</f>
        <v>44462</v>
      </c>
      <c r="I1355" s="15">
        <f>IFERROR(__xludf.DUMMYFUNCTION("""COMPUTED_VALUE"""),0.7383564814814815)</f>
        <v>0.7383564815</v>
      </c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</row>
    <row r="1356">
      <c r="A1356" s="12">
        <v>2.79</v>
      </c>
      <c r="B1356" s="12">
        <v>228.1</v>
      </c>
      <c r="C1356" s="12">
        <v>405.2</v>
      </c>
      <c r="D1356" s="12">
        <v>4.59</v>
      </c>
      <c r="E1356" s="12">
        <v>0.64</v>
      </c>
      <c r="F1356" s="12">
        <v>50.0</v>
      </c>
      <c r="G1356" s="13">
        <v>44462.738463194444</v>
      </c>
      <c r="H1356" s="14">
        <f>IFERROR(__xludf.DUMMYFUNCTION("SPLIT(G1356, "", "")"),44462.0)</f>
        <v>44462</v>
      </c>
      <c r="I1356" s="15">
        <f>IFERROR(__xludf.DUMMYFUNCTION("""COMPUTED_VALUE"""),0.7384606481481482)</f>
        <v>0.7384606481</v>
      </c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</row>
    <row r="1357">
      <c r="A1357" s="12">
        <v>2.77</v>
      </c>
      <c r="B1357" s="12">
        <v>228.0</v>
      </c>
      <c r="C1357" s="12">
        <v>403.1</v>
      </c>
      <c r="D1357" s="12">
        <v>4.59</v>
      </c>
      <c r="E1357" s="12">
        <v>0.64</v>
      </c>
      <c r="F1357" s="12">
        <v>50.0</v>
      </c>
      <c r="G1357" s="13">
        <v>44462.73856421297</v>
      </c>
      <c r="H1357" s="14">
        <f>IFERROR(__xludf.DUMMYFUNCTION("SPLIT(G1357, "", "")"),44462.0)</f>
        <v>44462</v>
      </c>
      <c r="I1357" s="15">
        <f>IFERROR(__xludf.DUMMYFUNCTION("""COMPUTED_VALUE"""),0.7385648148148148)</f>
        <v>0.7385648148</v>
      </c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</row>
    <row r="1358">
      <c r="A1358" s="12">
        <v>2.76</v>
      </c>
      <c r="B1358" s="12">
        <v>227.9</v>
      </c>
      <c r="C1358" s="12">
        <v>400.8</v>
      </c>
      <c r="D1358" s="12">
        <v>4.59</v>
      </c>
      <c r="E1358" s="12">
        <v>0.64</v>
      </c>
      <c r="F1358" s="12">
        <v>50.0</v>
      </c>
      <c r="G1358" s="13">
        <v>44462.738665972225</v>
      </c>
      <c r="H1358" s="14">
        <f>IFERROR(__xludf.DUMMYFUNCTION("SPLIT(G1358, "", "")"),44462.0)</f>
        <v>44462</v>
      </c>
      <c r="I1358" s="15">
        <f>IFERROR(__xludf.DUMMYFUNCTION("""COMPUTED_VALUE"""),0.7386689814814815)</f>
        <v>0.7386689815</v>
      </c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</row>
    <row r="1359">
      <c r="A1359" s="12">
        <v>2.77</v>
      </c>
      <c r="B1359" s="12">
        <v>227.9</v>
      </c>
      <c r="C1359" s="12">
        <v>398.9</v>
      </c>
      <c r="D1359" s="12">
        <v>4.59</v>
      </c>
      <c r="E1359" s="12">
        <v>0.63</v>
      </c>
      <c r="F1359" s="12">
        <v>50.0</v>
      </c>
      <c r="G1359" s="13">
        <v>44462.738767939816</v>
      </c>
      <c r="H1359" s="14">
        <f>IFERROR(__xludf.DUMMYFUNCTION("SPLIT(G1359, "", "")"),44462.0)</f>
        <v>44462</v>
      </c>
      <c r="I1359" s="15">
        <f>IFERROR(__xludf.DUMMYFUNCTION("""COMPUTED_VALUE"""),0.7387731481481481)</f>
        <v>0.7387731481</v>
      </c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</row>
    <row r="1360">
      <c r="A1360" s="12">
        <v>2.77</v>
      </c>
      <c r="B1360" s="12">
        <v>227.8</v>
      </c>
      <c r="C1360" s="12">
        <v>396.8</v>
      </c>
      <c r="D1360" s="12">
        <v>4.59</v>
      </c>
      <c r="E1360" s="12">
        <v>0.63</v>
      </c>
      <c r="F1360" s="12">
        <v>50.0</v>
      </c>
      <c r="G1360" s="13">
        <v>44462.73887133102</v>
      </c>
      <c r="H1360" s="14">
        <f>IFERROR(__xludf.DUMMYFUNCTION("SPLIT(G1360, "", "")"),44462.0)</f>
        <v>44462</v>
      </c>
      <c r="I1360" s="15">
        <f>IFERROR(__xludf.DUMMYFUNCTION("""COMPUTED_VALUE"""),0.7388657407407407)</f>
        <v>0.7388657407</v>
      </c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</row>
    <row r="1361">
      <c r="A1361" s="12">
        <v>2.75</v>
      </c>
      <c r="B1361" s="12">
        <v>227.7</v>
      </c>
      <c r="C1361" s="12">
        <v>394.6</v>
      </c>
      <c r="D1361" s="12">
        <v>4.59</v>
      </c>
      <c r="E1361" s="12">
        <v>0.63</v>
      </c>
      <c r="F1361" s="12">
        <v>50.0</v>
      </c>
      <c r="G1361" s="13">
        <v>44462.738972129635</v>
      </c>
      <c r="H1361" s="14">
        <f>IFERROR(__xludf.DUMMYFUNCTION("SPLIT(G1361, "", "")"),44462.0)</f>
        <v>44462</v>
      </c>
      <c r="I1361" s="15">
        <f>IFERROR(__xludf.DUMMYFUNCTION("""COMPUTED_VALUE"""),0.7389699074074074)</f>
        <v>0.7389699074</v>
      </c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</row>
    <row r="1362">
      <c r="A1362" s="12">
        <v>2.74</v>
      </c>
      <c r="B1362" s="12">
        <v>227.8</v>
      </c>
      <c r="C1362" s="12">
        <v>392.9</v>
      </c>
      <c r="D1362" s="12">
        <v>4.59</v>
      </c>
      <c r="E1362" s="12">
        <v>0.63</v>
      </c>
      <c r="F1362" s="12">
        <v>49.9</v>
      </c>
      <c r="G1362" s="13">
        <v>44462.73907207176</v>
      </c>
      <c r="H1362" s="14">
        <f>IFERROR(__xludf.DUMMYFUNCTION("SPLIT(G1362, "", "")"),44462.0)</f>
        <v>44462</v>
      </c>
      <c r="I1362" s="15">
        <f>IFERROR(__xludf.DUMMYFUNCTION("""COMPUTED_VALUE"""),0.7390740740740741)</f>
        <v>0.7390740741</v>
      </c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</row>
    <row r="1363">
      <c r="A1363" s="12">
        <v>2.73</v>
      </c>
      <c r="B1363" s="12">
        <v>227.9</v>
      </c>
      <c r="C1363" s="12">
        <v>390.7</v>
      </c>
      <c r="D1363" s="12">
        <v>4.59</v>
      </c>
      <c r="E1363" s="12">
        <v>0.63</v>
      </c>
      <c r="F1363" s="12">
        <v>49.9</v>
      </c>
      <c r="G1363" s="13">
        <v>44462.73917854167</v>
      </c>
      <c r="H1363" s="14">
        <f>IFERROR(__xludf.DUMMYFUNCTION("SPLIT(G1363, "", "")"),44462.0)</f>
        <v>44462</v>
      </c>
      <c r="I1363" s="15">
        <f>IFERROR(__xludf.DUMMYFUNCTION("""COMPUTED_VALUE"""),0.7391782407407408)</f>
        <v>0.7391782407</v>
      </c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</row>
    <row r="1364">
      <c r="A1364" s="12">
        <v>2.71</v>
      </c>
      <c r="B1364" s="12">
        <v>227.9</v>
      </c>
      <c r="C1364" s="12">
        <v>388.1</v>
      </c>
      <c r="D1364" s="12">
        <v>4.59</v>
      </c>
      <c r="E1364" s="12">
        <v>0.63</v>
      </c>
      <c r="F1364" s="12">
        <v>49.9</v>
      </c>
      <c r="G1364" s="13">
        <v>44462.73929045138</v>
      </c>
      <c r="H1364" s="14">
        <f>IFERROR(__xludf.DUMMYFUNCTION("SPLIT(G1364, "", "")"),44462.0)</f>
        <v>44462</v>
      </c>
      <c r="I1364" s="15">
        <f>IFERROR(__xludf.DUMMYFUNCTION("""COMPUTED_VALUE"""),0.7392939814814815)</f>
        <v>0.7392939815</v>
      </c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</row>
    <row r="1365">
      <c r="A1365" s="12">
        <v>2.69</v>
      </c>
      <c r="B1365" s="12">
        <v>227.9</v>
      </c>
      <c r="C1365" s="12">
        <v>385.9</v>
      </c>
      <c r="D1365" s="12">
        <v>4.6</v>
      </c>
      <c r="E1365" s="12">
        <v>0.63</v>
      </c>
      <c r="F1365" s="12">
        <v>49.9</v>
      </c>
      <c r="G1365" s="13">
        <v>44462.73939271991</v>
      </c>
      <c r="H1365" s="14">
        <f>IFERROR(__xludf.DUMMYFUNCTION("SPLIT(G1365, "", "")"),44462.0)</f>
        <v>44462</v>
      </c>
      <c r="I1365" s="15">
        <f>IFERROR(__xludf.DUMMYFUNCTION("""COMPUTED_VALUE"""),0.7393981481481482)</f>
        <v>0.7393981481</v>
      </c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</row>
    <row r="1366">
      <c r="A1366" s="12">
        <v>2.68</v>
      </c>
      <c r="B1366" s="12">
        <v>228.0</v>
      </c>
      <c r="C1366" s="12">
        <v>383.6</v>
      </c>
      <c r="D1366" s="12">
        <v>4.6</v>
      </c>
      <c r="E1366" s="12">
        <v>0.63</v>
      </c>
      <c r="F1366" s="12">
        <v>49.9</v>
      </c>
      <c r="G1366" s="13">
        <v>44462.739511747684</v>
      </c>
      <c r="H1366" s="14">
        <f>IFERROR(__xludf.DUMMYFUNCTION("SPLIT(G1366, "", "")"),44462.0)</f>
        <v>44462</v>
      </c>
      <c r="I1366" s="15">
        <f>IFERROR(__xludf.DUMMYFUNCTION("""COMPUTED_VALUE"""),0.7395138888888889)</f>
        <v>0.7395138889</v>
      </c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</row>
    <row r="1367">
      <c r="A1367" s="12">
        <v>2.66</v>
      </c>
      <c r="B1367" s="12">
        <v>228.0</v>
      </c>
      <c r="C1367" s="12">
        <v>381.2</v>
      </c>
      <c r="D1367" s="12">
        <v>4.6</v>
      </c>
      <c r="E1367" s="12">
        <v>0.63</v>
      </c>
      <c r="F1367" s="12">
        <v>49.9</v>
      </c>
      <c r="G1367" s="13">
        <v>44462.739611157405</v>
      </c>
      <c r="H1367" s="14">
        <f>IFERROR(__xludf.DUMMYFUNCTION("SPLIT(G1367, "", "")"),44462.0)</f>
        <v>44462</v>
      </c>
      <c r="I1367" s="15">
        <f>IFERROR(__xludf.DUMMYFUNCTION("""COMPUTED_VALUE"""),0.7396064814814814)</f>
        <v>0.7396064815</v>
      </c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</row>
    <row r="1368">
      <c r="A1368" s="12">
        <v>2.65</v>
      </c>
      <c r="B1368" s="12">
        <v>228.0</v>
      </c>
      <c r="C1368" s="12">
        <v>379.3</v>
      </c>
      <c r="D1368" s="12">
        <v>4.6</v>
      </c>
      <c r="E1368" s="12">
        <v>0.63</v>
      </c>
      <c r="F1368" s="12">
        <v>49.9</v>
      </c>
      <c r="G1368" s="13">
        <v>44462.73971162037</v>
      </c>
      <c r="H1368" s="14">
        <f>IFERROR(__xludf.DUMMYFUNCTION("SPLIT(G1368, "", "")"),44462.0)</f>
        <v>44462</v>
      </c>
      <c r="I1368" s="15">
        <f>IFERROR(__xludf.DUMMYFUNCTION("""COMPUTED_VALUE"""),0.7397106481481481)</f>
        <v>0.7397106481</v>
      </c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</row>
    <row r="1369">
      <c r="A1369" s="12">
        <v>2.64</v>
      </c>
      <c r="B1369" s="12">
        <v>228.0</v>
      </c>
      <c r="C1369" s="12">
        <v>377.5</v>
      </c>
      <c r="D1369" s="12">
        <v>4.6</v>
      </c>
      <c r="E1369" s="12">
        <v>0.63</v>
      </c>
      <c r="F1369" s="12">
        <v>49.9</v>
      </c>
      <c r="G1369" s="13">
        <v>44462.739811817126</v>
      </c>
      <c r="H1369" s="14">
        <f>IFERROR(__xludf.DUMMYFUNCTION("SPLIT(G1369, "", "")"),44462.0)</f>
        <v>44462</v>
      </c>
      <c r="I1369" s="15">
        <f>IFERROR(__xludf.DUMMYFUNCTION("""COMPUTED_VALUE"""),0.7398148148148148)</f>
        <v>0.7398148148</v>
      </c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</row>
    <row r="1370">
      <c r="A1370" s="12">
        <v>2.62</v>
      </c>
      <c r="B1370" s="12">
        <v>228.0</v>
      </c>
      <c r="C1370" s="12">
        <v>374.7</v>
      </c>
      <c r="D1370" s="12">
        <v>4.6</v>
      </c>
      <c r="E1370" s="12">
        <v>0.63</v>
      </c>
      <c r="F1370" s="12">
        <v>49.9</v>
      </c>
      <c r="G1370" s="13">
        <v>44462.739936921294</v>
      </c>
      <c r="H1370" s="14">
        <f>IFERROR(__xludf.DUMMYFUNCTION("SPLIT(G1370, "", "")"),44462.0)</f>
        <v>44462</v>
      </c>
      <c r="I1370" s="15">
        <f>IFERROR(__xludf.DUMMYFUNCTION("""COMPUTED_VALUE"""),0.7399421296296296)</f>
        <v>0.7399421296</v>
      </c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</row>
    <row r="1371">
      <c r="A1371" s="12">
        <v>2.61</v>
      </c>
      <c r="B1371" s="12">
        <v>227.9</v>
      </c>
      <c r="C1371" s="12">
        <v>372.6</v>
      </c>
      <c r="D1371" s="12">
        <v>4.6</v>
      </c>
      <c r="E1371" s="12">
        <v>0.63</v>
      </c>
      <c r="F1371" s="12">
        <v>49.9</v>
      </c>
      <c r="G1371" s="13">
        <v>44462.7400425463</v>
      </c>
      <c r="H1371" s="14">
        <f>IFERROR(__xludf.DUMMYFUNCTION("SPLIT(G1371, "", "")"),44462.0)</f>
        <v>44462</v>
      </c>
      <c r="I1371" s="15">
        <f>IFERROR(__xludf.DUMMYFUNCTION("""COMPUTED_VALUE"""),0.7400462962962963)</f>
        <v>0.7400462963</v>
      </c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</row>
    <row r="1372">
      <c r="A1372" s="12">
        <v>2.6</v>
      </c>
      <c r="B1372" s="12">
        <v>227.8</v>
      </c>
      <c r="C1372" s="12">
        <v>370.5</v>
      </c>
      <c r="D1372" s="12">
        <v>4.6</v>
      </c>
      <c r="E1372" s="12">
        <v>0.63</v>
      </c>
      <c r="F1372" s="12">
        <v>49.9</v>
      </c>
      <c r="G1372" s="13">
        <v>44462.74014480324</v>
      </c>
      <c r="H1372" s="14">
        <f>IFERROR(__xludf.DUMMYFUNCTION("SPLIT(G1372, "", "")"),44462.0)</f>
        <v>44462</v>
      </c>
      <c r="I1372" s="15">
        <f>IFERROR(__xludf.DUMMYFUNCTION("""COMPUTED_VALUE"""),0.7401504629629629)</f>
        <v>0.740150463</v>
      </c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</row>
    <row r="1373">
      <c r="A1373" s="12">
        <v>2.59</v>
      </c>
      <c r="B1373" s="12">
        <v>227.8</v>
      </c>
      <c r="C1373" s="12">
        <v>368.5</v>
      </c>
      <c r="D1373" s="12">
        <v>4.6</v>
      </c>
      <c r="E1373" s="12">
        <v>0.62</v>
      </c>
      <c r="F1373" s="12">
        <v>50.0</v>
      </c>
      <c r="G1373" s="13">
        <v>44462.74024167824</v>
      </c>
      <c r="H1373" s="14">
        <f>IFERROR(__xludf.DUMMYFUNCTION("SPLIT(G1373, "", "")"),44462.0)</f>
        <v>44462</v>
      </c>
      <c r="I1373" s="15">
        <f>IFERROR(__xludf.DUMMYFUNCTION("""COMPUTED_VALUE"""),0.7402430555555556)</f>
        <v>0.7402430556</v>
      </c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</row>
    <row r="1374">
      <c r="A1374" s="12">
        <v>2.58</v>
      </c>
      <c r="B1374" s="12">
        <v>227.8</v>
      </c>
      <c r="C1374" s="12">
        <v>366.5</v>
      </c>
      <c r="D1374" s="12">
        <v>4.6</v>
      </c>
      <c r="E1374" s="12">
        <v>0.62</v>
      </c>
      <c r="F1374" s="12">
        <v>49.9</v>
      </c>
      <c r="G1374" s="13">
        <v>44462.74034267361</v>
      </c>
      <c r="H1374" s="14">
        <f>IFERROR(__xludf.DUMMYFUNCTION("SPLIT(G1374, "", "")"),44462.0)</f>
        <v>44462</v>
      </c>
      <c r="I1374" s="15">
        <f>IFERROR(__xludf.DUMMYFUNCTION("""COMPUTED_VALUE"""),0.7403472222222223)</f>
        <v>0.7403472222</v>
      </c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</row>
    <row r="1375">
      <c r="A1375" s="12">
        <v>2.56</v>
      </c>
      <c r="B1375" s="12">
        <v>227.9</v>
      </c>
      <c r="C1375" s="12">
        <v>364.1</v>
      </c>
      <c r="D1375" s="12">
        <v>4.61</v>
      </c>
      <c r="E1375" s="12">
        <v>0.62</v>
      </c>
      <c r="F1375" s="12">
        <v>50.0</v>
      </c>
      <c r="G1375" s="13">
        <v>44462.7404437963</v>
      </c>
      <c r="H1375" s="14">
        <f>IFERROR(__xludf.DUMMYFUNCTION("SPLIT(G1375, "", "")"),44462.0)</f>
        <v>44462</v>
      </c>
      <c r="I1375" s="15">
        <f>IFERROR(__xludf.DUMMYFUNCTION("""COMPUTED_VALUE"""),0.7404398148148148)</f>
        <v>0.7404398148</v>
      </c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</row>
    <row r="1376">
      <c r="A1376" s="12">
        <v>2.54</v>
      </c>
      <c r="B1376" s="12">
        <v>228.0</v>
      </c>
      <c r="C1376" s="12">
        <v>362.2</v>
      </c>
      <c r="D1376" s="12">
        <v>4.61</v>
      </c>
      <c r="E1376" s="12">
        <v>0.63</v>
      </c>
      <c r="F1376" s="12">
        <v>49.9</v>
      </c>
      <c r="G1376" s="13">
        <v>44462.74054496527</v>
      </c>
      <c r="H1376" s="14">
        <f>IFERROR(__xludf.DUMMYFUNCTION("SPLIT(G1376, "", "")"),44462.0)</f>
        <v>44462</v>
      </c>
      <c r="I1376" s="15">
        <f>IFERROR(__xludf.DUMMYFUNCTION("""COMPUTED_VALUE"""),0.7405439814814815)</f>
        <v>0.7405439815</v>
      </c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</row>
    <row r="1377">
      <c r="A1377" s="12">
        <v>2.54</v>
      </c>
      <c r="B1377" s="12">
        <v>227.9</v>
      </c>
      <c r="C1377" s="12">
        <v>360.2</v>
      </c>
      <c r="D1377" s="12">
        <v>4.61</v>
      </c>
      <c r="E1377" s="12">
        <v>0.62</v>
      </c>
      <c r="F1377" s="12">
        <v>50.0</v>
      </c>
      <c r="G1377" s="13">
        <v>44462.740645150465</v>
      </c>
      <c r="H1377" s="14">
        <f>IFERROR(__xludf.DUMMYFUNCTION("SPLIT(G1377, "", "")"),44462.0)</f>
        <v>44462</v>
      </c>
      <c r="I1377" s="15">
        <f>IFERROR(__xludf.DUMMYFUNCTION("""COMPUTED_VALUE"""),0.7406481481481482)</f>
        <v>0.7406481481</v>
      </c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</row>
    <row r="1378">
      <c r="A1378" s="12">
        <v>2.5</v>
      </c>
      <c r="B1378" s="12">
        <v>228.2</v>
      </c>
      <c r="C1378" s="12">
        <v>358.1</v>
      </c>
      <c r="D1378" s="12">
        <v>4.61</v>
      </c>
      <c r="E1378" s="12">
        <v>0.63</v>
      </c>
      <c r="F1378" s="12">
        <v>50.0</v>
      </c>
      <c r="G1378" s="13">
        <v>44462.7407456713</v>
      </c>
      <c r="H1378" s="14">
        <f>IFERROR(__xludf.DUMMYFUNCTION("SPLIT(G1378, "", "")"),44462.0)</f>
        <v>44462</v>
      </c>
      <c r="I1378" s="15">
        <f>IFERROR(__xludf.DUMMYFUNCTION("""COMPUTED_VALUE"""),0.7407407407407407)</f>
        <v>0.7407407407</v>
      </c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</row>
    <row r="1379">
      <c r="A1379" s="12">
        <v>2.46</v>
      </c>
      <c r="B1379" s="12">
        <v>228.4</v>
      </c>
      <c r="C1379" s="12">
        <v>356.1</v>
      </c>
      <c r="D1379" s="12">
        <v>4.61</v>
      </c>
      <c r="E1379" s="12">
        <v>0.63</v>
      </c>
      <c r="F1379" s="12">
        <v>50.0</v>
      </c>
      <c r="G1379" s="13">
        <v>44462.74084460648</v>
      </c>
      <c r="H1379" s="14">
        <f>IFERROR(__xludf.DUMMYFUNCTION("SPLIT(G1379, "", "")"),44462.0)</f>
        <v>44462</v>
      </c>
      <c r="I1379" s="15">
        <f>IFERROR(__xludf.DUMMYFUNCTION("""COMPUTED_VALUE"""),0.7408449074074074)</f>
        <v>0.7408449074</v>
      </c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</row>
    <row r="1380">
      <c r="A1380" s="12">
        <v>2.48</v>
      </c>
      <c r="B1380" s="12">
        <v>228.1</v>
      </c>
      <c r="C1380" s="12">
        <v>354.1</v>
      </c>
      <c r="D1380" s="12">
        <v>4.61</v>
      </c>
      <c r="E1380" s="12">
        <v>0.63</v>
      </c>
      <c r="F1380" s="12">
        <v>50.0</v>
      </c>
      <c r="G1380" s="13">
        <v>44462.74094346065</v>
      </c>
      <c r="H1380" s="14">
        <f>IFERROR(__xludf.DUMMYFUNCTION("SPLIT(G1380, "", "")"),44462.0)</f>
        <v>44462</v>
      </c>
      <c r="I1380" s="15">
        <f>IFERROR(__xludf.DUMMYFUNCTION("""COMPUTED_VALUE"""),0.7409490740740741)</f>
        <v>0.7409490741</v>
      </c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</row>
    <row r="1381">
      <c r="A1381" s="12">
        <v>2.45</v>
      </c>
      <c r="B1381" s="12">
        <v>228.3</v>
      </c>
      <c r="C1381" s="12">
        <v>351.5</v>
      </c>
      <c r="D1381" s="12">
        <v>4.61</v>
      </c>
      <c r="E1381" s="12">
        <v>0.63</v>
      </c>
      <c r="F1381" s="12">
        <v>50.0</v>
      </c>
      <c r="G1381" s="13">
        <v>44462.74107633102</v>
      </c>
      <c r="H1381" s="14">
        <f>IFERROR(__xludf.DUMMYFUNCTION("SPLIT(G1381, "", "")"),44462.0)</f>
        <v>44462</v>
      </c>
      <c r="I1381" s="15">
        <f>IFERROR(__xludf.DUMMYFUNCTION("""COMPUTED_VALUE"""),0.7410763888888889)</f>
        <v>0.7410763889</v>
      </c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</row>
    <row r="1382">
      <c r="A1382" s="12">
        <v>2.42</v>
      </c>
      <c r="B1382" s="12">
        <v>228.5</v>
      </c>
      <c r="C1382" s="12">
        <v>349.1</v>
      </c>
      <c r="D1382" s="12">
        <v>4.61</v>
      </c>
      <c r="E1382" s="12">
        <v>0.63</v>
      </c>
      <c r="F1382" s="12">
        <v>49.9</v>
      </c>
      <c r="G1382" s="13">
        <v>44462.74117459491</v>
      </c>
      <c r="H1382" s="14">
        <f>IFERROR(__xludf.DUMMYFUNCTION("SPLIT(G1382, "", "")"),44462.0)</f>
        <v>44462</v>
      </c>
      <c r="I1382" s="15">
        <f>IFERROR(__xludf.DUMMYFUNCTION("""COMPUTED_VALUE"""),0.7411689814814815)</f>
        <v>0.7411689815</v>
      </c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</row>
    <row r="1383">
      <c r="A1383" s="12">
        <v>2.43</v>
      </c>
      <c r="B1383" s="12">
        <v>228.1</v>
      </c>
      <c r="C1383" s="12">
        <v>347.2</v>
      </c>
      <c r="D1383" s="12">
        <v>4.61</v>
      </c>
      <c r="E1383" s="12">
        <v>0.63</v>
      </c>
      <c r="F1383" s="12">
        <v>49.9</v>
      </c>
      <c r="G1383" s="13">
        <v>44462.741272245374</v>
      </c>
      <c r="H1383" s="14">
        <f>IFERROR(__xludf.DUMMYFUNCTION("SPLIT(G1383, "", "")"),44462.0)</f>
        <v>44462</v>
      </c>
      <c r="I1383" s="15">
        <f>IFERROR(__xludf.DUMMYFUNCTION("""COMPUTED_VALUE"""),0.7412731481481482)</f>
        <v>0.7412731481</v>
      </c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</row>
    <row r="1384">
      <c r="A1384" s="12">
        <v>2.45</v>
      </c>
      <c r="B1384" s="12">
        <v>228.0</v>
      </c>
      <c r="C1384" s="12">
        <v>345.4</v>
      </c>
      <c r="D1384" s="12">
        <v>4.61</v>
      </c>
      <c r="E1384" s="12">
        <v>0.62</v>
      </c>
      <c r="F1384" s="12">
        <v>49.9</v>
      </c>
      <c r="G1384" s="13">
        <v>44462.74137497685</v>
      </c>
      <c r="H1384" s="14">
        <f>IFERROR(__xludf.DUMMYFUNCTION("SPLIT(G1384, "", "")"),44462.0)</f>
        <v>44462</v>
      </c>
      <c r="I1384" s="15">
        <f>IFERROR(__xludf.DUMMYFUNCTION("""COMPUTED_VALUE"""),0.7413773148148148)</f>
        <v>0.7413773148</v>
      </c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</row>
    <row r="1385">
      <c r="A1385" s="12">
        <v>2.44</v>
      </c>
      <c r="B1385" s="12">
        <v>227.9</v>
      </c>
      <c r="C1385" s="12">
        <v>343.4</v>
      </c>
      <c r="D1385" s="12">
        <v>4.61</v>
      </c>
      <c r="E1385" s="12">
        <v>0.62</v>
      </c>
      <c r="F1385" s="12">
        <v>49.9</v>
      </c>
      <c r="G1385" s="13">
        <v>44462.74147537037</v>
      </c>
      <c r="H1385" s="14">
        <f>IFERROR(__xludf.DUMMYFUNCTION("SPLIT(G1385, "", "")"),44462.0)</f>
        <v>44462</v>
      </c>
      <c r="I1385" s="15">
        <f>IFERROR(__xludf.DUMMYFUNCTION("""COMPUTED_VALUE"""),0.7414699074074074)</f>
        <v>0.7414699074</v>
      </c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</row>
    <row r="1386">
      <c r="A1386" s="12">
        <v>2.42</v>
      </c>
      <c r="B1386" s="12">
        <v>227.9</v>
      </c>
      <c r="C1386" s="12">
        <v>341.4</v>
      </c>
      <c r="D1386" s="12">
        <v>4.61</v>
      </c>
      <c r="E1386" s="12">
        <v>0.62</v>
      </c>
      <c r="F1386" s="12">
        <v>50.0</v>
      </c>
      <c r="G1386" s="13">
        <v>44462.74157938657</v>
      </c>
      <c r="H1386" s="14">
        <f>IFERROR(__xludf.DUMMYFUNCTION("SPLIT(G1386, "", "")"),44462.0)</f>
        <v>44462</v>
      </c>
      <c r="I1386" s="15">
        <f>IFERROR(__xludf.DUMMYFUNCTION("""COMPUTED_VALUE"""),0.741574074074074)</f>
        <v>0.7415740741</v>
      </c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</row>
    <row r="1387">
      <c r="A1387" s="12">
        <v>2.41</v>
      </c>
      <c r="B1387" s="12">
        <v>227.8</v>
      </c>
      <c r="C1387" s="12">
        <v>339.3</v>
      </c>
      <c r="D1387" s="12">
        <v>4.62</v>
      </c>
      <c r="E1387" s="12">
        <v>0.62</v>
      </c>
      <c r="F1387" s="12">
        <v>49.9</v>
      </c>
      <c r="G1387" s="13">
        <v>44462.74168902778</v>
      </c>
      <c r="H1387" s="14">
        <f>IFERROR(__xludf.DUMMYFUNCTION("SPLIT(G1387, "", "")"),44462.0)</f>
        <v>44462</v>
      </c>
      <c r="I1387" s="15">
        <f>IFERROR(__xludf.DUMMYFUNCTION("""COMPUTED_VALUE"""),0.7416898148148148)</f>
        <v>0.7416898148</v>
      </c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</row>
    <row r="1388">
      <c r="A1388" s="12">
        <v>2.4</v>
      </c>
      <c r="B1388" s="12">
        <v>227.8</v>
      </c>
      <c r="C1388" s="12">
        <v>337.2</v>
      </c>
      <c r="D1388" s="12">
        <v>4.62</v>
      </c>
      <c r="E1388" s="12">
        <v>0.62</v>
      </c>
      <c r="F1388" s="12">
        <v>49.9</v>
      </c>
      <c r="G1388" s="13">
        <v>44462.741793877314</v>
      </c>
      <c r="H1388" s="14">
        <f>IFERROR(__xludf.DUMMYFUNCTION("SPLIT(G1388, "", "")"),44462.0)</f>
        <v>44462</v>
      </c>
      <c r="I1388" s="15">
        <f>IFERROR(__xludf.DUMMYFUNCTION("""COMPUTED_VALUE"""),0.7417939814814815)</f>
        <v>0.7417939815</v>
      </c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</row>
    <row r="1389">
      <c r="A1389" s="12">
        <v>2.35</v>
      </c>
      <c r="B1389" s="12">
        <v>228.3</v>
      </c>
      <c r="C1389" s="12">
        <v>335.0</v>
      </c>
      <c r="D1389" s="12">
        <v>4.62</v>
      </c>
      <c r="E1389" s="12">
        <v>0.63</v>
      </c>
      <c r="F1389" s="12">
        <v>49.9</v>
      </c>
      <c r="G1389" s="13">
        <v>44462.74189445602</v>
      </c>
      <c r="H1389" s="14">
        <f>IFERROR(__xludf.DUMMYFUNCTION("SPLIT(G1389, "", "")"),44462.0)</f>
        <v>44462</v>
      </c>
      <c r="I1389" s="15">
        <f>IFERROR(__xludf.DUMMYFUNCTION("""COMPUTED_VALUE"""),0.7418981481481481)</f>
        <v>0.7418981481</v>
      </c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</row>
    <row r="1390">
      <c r="A1390" s="12">
        <v>2.35</v>
      </c>
      <c r="B1390" s="12">
        <v>228.2</v>
      </c>
      <c r="C1390" s="12">
        <v>333.1</v>
      </c>
      <c r="D1390" s="12">
        <v>4.62</v>
      </c>
      <c r="E1390" s="12">
        <v>0.62</v>
      </c>
      <c r="F1390" s="12">
        <v>49.9</v>
      </c>
      <c r="G1390" s="13">
        <v>44462.74200131945</v>
      </c>
      <c r="H1390" s="14">
        <f>IFERROR(__xludf.DUMMYFUNCTION("SPLIT(G1390, "", "")"),44462.0)</f>
        <v>44462</v>
      </c>
      <c r="I1390" s="15">
        <f>IFERROR(__xludf.DUMMYFUNCTION("""COMPUTED_VALUE"""),0.7420023148148148)</f>
        <v>0.7420023148</v>
      </c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</row>
    <row r="1391">
      <c r="A1391" s="12">
        <v>2.36</v>
      </c>
      <c r="B1391" s="12">
        <v>227.9</v>
      </c>
      <c r="C1391" s="12">
        <v>330.9</v>
      </c>
      <c r="D1391" s="12">
        <v>4.62</v>
      </c>
      <c r="E1391" s="12">
        <v>0.61</v>
      </c>
      <c r="F1391" s="12">
        <v>49.9</v>
      </c>
      <c r="G1391" s="13">
        <v>44462.74211144676</v>
      </c>
      <c r="H1391" s="14">
        <f>IFERROR(__xludf.DUMMYFUNCTION("SPLIT(G1391, "", "")"),44462.0)</f>
        <v>44462</v>
      </c>
      <c r="I1391" s="15">
        <f>IFERROR(__xludf.DUMMYFUNCTION("""COMPUTED_VALUE"""),0.7421064814814815)</f>
        <v>0.7421064815</v>
      </c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</row>
    <row r="1392">
      <c r="A1392" s="12">
        <v>2.34</v>
      </c>
      <c r="B1392" s="12">
        <v>228.2</v>
      </c>
      <c r="C1392" s="12">
        <v>328.5</v>
      </c>
      <c r="D1392" s="12">
        <v>4.62</v>
      </c>
      <c r="E1392" s="12">
        <v>0.62</v>
      </c>
      <c r="F1392" s="12">
        <v>50.0</v>
      </c>
      <c r="G1392" s="13">
        <v>44462.742222071756</v>
      </c>
      <c r="H1392" s="14">
        <f>IFERROR(__xludf.DUMMYFUNCTION("SPLIT(G1392, "", "")"),44462.0)</f>
        <v>44462</v>
      </c>
      <c r="I1392" s="15">
        <f>IFERROR(__xludf.DUMMYFUNCTION("""COMPUTED_VALUE"""),0.7422222222222222)</f>
        <v>0.7422222222</v>
      </c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</row>
    <row r="1393">
      <c r="A1393" s="12">
        <v>2.33</v>
      </c>
      <c r="B1393" s="12">
        <v>228.2</v>
      </c>
      <c r="C1393" s="12">
        <v>325.9</v>
      </c>
      <c r="D1393" s="12">
        <v>4.62</v>
      </c>
      <c r="E1393" s="12">
        <v>0.61</v>
      </c>
      <c r="F1393" s="12">
        <v>50.0</v>
      </c>
      <c r="G1393" s="13">
        <v>44462.74235731481</v>
      </c>
      <c r="H1393" s="14">
        <f>IFERROR(__xludf.DUMMYFUNCTION("SPLIT(G1393, "", "")"),44462.0)</f>
        <v>44462</v>
      </c>
      <c r="I1393" s="15">
        <f>IFERROR(__xludf.DUMMYFUNCTION("""COMPUTED_VALUE"""),0.7423611111111111)</f>
        <v>0.7423611111</v>
      </c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</row>
    <row r="1394">
      <c r="A1394" s="12">
        <v>2.29</v>
      </c>
      <c r="B1394" s="12">
        <v>228.4</v>
      </c>
      <c r="C1394" s="12">
        <v>324.0</v>
      </c>
      <c r="D1394" s="12">
        <v>4.62</v>
      </c>
      <c r="E1394" s="12">
        <v>0.62</v>
      </c>
      <c r="F1394" s="12">
        <v>50.0</v>
      </c>
      <c r="G1394" s="13">
        <v>44462.74245863426</v>
      </c>
      <c r="H1394" s="14">
        <f>IFERROR(__xludf.DUMMYFUNCTION("SPLIT(G1394, "", "")"),44462.0)</f>
        <v>44462</v>
      </c>
      <c r="I1394" s="15">
        <f>IFERROR(__xludf.DUMMYFUNCTION("""COMPUTED_VALUE"""),0.7424537037037037)</f>
        <v>0.7424537037</v>
      </c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</row>
    <row r="1395">
      <c r="A1395" s="12">
        <v>2.29</v>
      </c>
      <c r="B1395" s="12">
        <v>228.3</v>
      </c>
      <c r="C1395" s="12">
        <v>321.8</v>
      </c>
      <c r="D1395" s="12">
        <v>4.62</v>
      </c>
      <c r="E1395" s="12">
        <v>0.61</v>
      </c>
      <c r="F1395" s="12">
        <v>50.0</v>
      </c>
      <c r="G1395" s="13">
        <v>44462.742561921295</v>
      </c>
      <c r="H1395" s="14">
        <f>IFERROR(__xludf.DUMMYFUNCTION("SPLIT(G1395, "", "")"),44462.0)</f>
        <v>44462</v>
      </c>
      <c r="I1395" s="15">
        <f>IFERROR(__xludf.DUMMYFUNCTION("""COMPUTED_VALUE"""),0.7425578703703704)</f>
        <v>0.7425578704</v>
      </c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</row>
    <row r="1396">
      <c r="A1396" s="12">
        <v>2.28</v>
      </c>
      <c r="B1396" s="12">
        <v>228.3</v>
      </c>
      <c r="C1396" s="12">
        <v>319.8</v>
      </c>
      <c r="D1396" s="12">
        <v>4.62</v>
      </c>
      <c r="E1396" s="12">
        <v>0.61</v>
      </c>
      <c r="F1396" s="12">
        <v>50.0</v>
      </c>
      <c r="G1396" s="13">
        <v>44462.74266387732</v>
      </c>
      <c r="H1396" s="14">
        <f>IFERROR(__xludf.DUMMYFUNCTION("SPLIT(G1396, "", "")"),44462.0)</f>
        <v>44462</v>
      </c>
      <c r="I1396" s="15">
        <f>IFERROR(__xludf.DUMMYFUNCTION("""COMPUTED_VALUE"""),0.742662037037037)</f>
        <v>0.742662037</v>
      </c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</row>
    <row r="1397">
      <c r="A1397" s="12">
        <v>2.27</v>
      </c>
      <c r="B1397" s="12">
        <v>228.0</v>
      </c>
      <c r="C1397" s="12">
        <v>317.5</v>
      </c>
      <c r="D1397" s="12">
        <v>4.62</v>
      </c>
      <c r="E1397" s="12">
        <v>0.61</v>
      </c>
      <c r="F1397" s="12">
        <v>50.0</v>
      </c>
      <c r="G1397" s="13">
        <v>44462.742765</v>
      </c>
      <c r="H1397" s="14">
        <f>IFERROR(__xludf.DUMMYFUNCTION("SPLIT(G1397, "", "")"),44462.0)</f>
        <v>44462</v>
      </c>
      <c r="I1397" s="15">
        <f>IFERROR(__xludf.DUMMYFUNCTION("""COMPUTED_VALUE"""),0.7427662037037037)</f>
        <v>0.7427662037</v>
      </c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</row>
    <row r="1398">
      <c r="A1398" s="12">
        <v>2.26</v>
      </c>
      <c r="B1398" s="12">
        <v>227.8</v>
      </c>
      <c r="C1398" s="12">
        <v>315.7</v>
      </c>
      <c r="D1398" s="12">
        <v>4.63</v>
      </c>
      <c r="E1398" s="12">
        <v>0.61</v>
      </c>
      <c r="F1398" s="12">
        <v>49.9</v>
      </c>
      <c r="G1398" s="13">
        <v>44462.74286690972</v>
      </c>
      <c r="H1398" s="14">
        <f>IFERROR(__xludf.DUMMYFUNCTION("SPLIT(G1398, "", "")"),44462.0)</f>
        <v>44462</v>
      </c>
      <c r="I1398" s="15">
        <f>IFERROR(__xludf.DUMMYFUNCTION("""COMPUTED_VALUE"""),0.7428703703703704)</f>
        <v>0.7428703704</v>
      </c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</row>
    <row r="1399">
      <c r="A1399" s="12">
        <v>2.23</v>
      </c>
      <c r="B1399" s="12">
        <v>227.8</v>
      </c>
      <c r="C1399" s="12">
        <v>313.9</v>
      </c>
      <c r="D1399" s="12">
        <v>4.63</v>
      </c>
      <c r="E1399" s="12">
        <v>0.62</v>
      </c>
      <c r="F1399" s="12">
        <v>49.9</v>
      </c>
      <c r="G1399" s="13">
        <v>44462.74296855324</v>
      </c>
      <c r="H1399" s="14">
        <f>IFERROR(__xludf.DUMMYFUNCTION("SPLIT(G1399, "", "")"),44462.0)</f>
        <v>44462</v>
      </c>
      <c r="I1399" s="15">
        <f>IFERROR(__xludf.DUMMYFUNCTION("""COMPUTED_VALUE"""),0.7429629629629629)</f>
        <v>0.742962963</v>
      </c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</row>
    <row r="1400">
      <c r="A1400" s="12">
        <v>2.22</v>
      </c>
      <c r="B1400" s="12">
        <v>227.8</v>
      </c>
      <c r="C1400" s="12">
        <v>311.8</v>
      </c>
      <c r="D1400" s="12">
        <v>4.63</v>
      </c>
      <c r="E1400" s="12">
        <v>0.62</v>
      </c>
      <c r="F1400" s="12">
        <v>49.9</v>
      </c>
      <c r="G1400" s="13">
        <v>44462.743069027776</v>
      </c>
      <c r="H1400" s="14">
        <f>IFERROR(__xludf.DUMMYFUNCTION("SPLIT(G1400, "", "")"),44462.0)</f>
        <v>44462</v>
      </c>
      <c r="I1400" s="15">
        <f>IFERROR(__xludf.DUMMYFUNCTION("""COMPUTED_VALUE"""),0.7430671296296296)</f>
        <v>0.7430671296</v>
      </c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</row>
    <row r="1401">
      <c r="A1401" s="12">
        <v>2.21</v>
      </c>
      <c r="B1401" s="12">
        <v>227.8</v>
      </c>
      <c r="C1401" s="12">
        <v>310.0</v>
      </c>
      <c r="D1401" s="12">
        <v>4.63</v>
      </c>
      <c r="E1401" s="12">
        <v>0.62</v>
      </c>
      <c r="F1401" s="12">
        <v>49.9</v>
      </c>
      <c r="G1401" s="13">
        <v>44462.7431696875</v>
      </c>
      <c r="H1401" s="14">
        <f>IFERROR(__xludf.DUMMYFUNCTION("SPLIT(G1401, "", "")"),44462.0)</f>
        <v>44462</v>
      </c>
      <c r="I1401" s="15">
        <f>IFERROR(__xludf.DUMMYFUNCTION("""COMPUTED_VALUE"""),0.7431712962962963)</f>
        <v>0.7431712963</v>
      </c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</row>
    <row r="1402">
      <c r="A1402" s="12">
        <v>2.17</v>
      </c>
      <c r="B1402" s="12">
        <v>228.0</v>
      </c>
      <c r="C1402" s="12">
        <v>308.0</v>
      </c>
      <c r="D1402" s="12">
        <v>4.63</v>
      </c>
      <c r="E1402" s="12">
        <v>0.62</v>
      </c>
      <c r="F1402" s="12">
        <v>49.9</v>
      </c>
      <c r="G1402" s="13">
        <v>44462.74327320602</v>
      </c>
      <c r="H1402" s="14">
        <f>IFERROR(__xludf.DUMMYFUNCTION("SPLIT(G1402, "", "")"),44462.0)</f>
        <v>44462</v>
      </c>
      <c r="I1402" s="15">
        <f>IFERROR(__xludf.DUMMYFUNCTION("""COMPUTED_VALUE"""),0.743275462962963)</f>
        <v>0.743275463</v>
      </c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</row>
    <row r="1403">
      <c r="A1403" s="12">
        <v>2.17</v>
      </c>
      <c r="B1403" s="12">
        <v>227.9</v>
      </c>
      <c r="C1403" s="12">
        <v>305.9</v>
      </c>
      <c r="D1403" s="12">
        <v>4.63</v>
      </c>
      <c r="E1403" s="12">
        <v>0.62</v>
      </c>
      <c r="F1403" s="12">
        <v>49.9</v>
      </c>
      <c r="G1403" s="13">
        <v>44462.7433783912</v>
      </c>
      <c r="H1403" s="14">
        <f>IFERROR(__xludf.DUMMYFUNCTION("SPLIT(G1403, "", "")"),44462.0)</f>
        <v>44462</v>
      </c>
      <c r="I1403" s="15">
        <f>IFERROR(__xludf.DUMMYFUNCTION("""COMPUTED_VALUE"""),0.7433796296296297)</f>
        <v>0.7433796296</v>
      </c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</row>
    <row r="1404">
      <c r="A1404" s="12">
        <v>2.16</v>
      </c>
      <c r="B1404" s="12">
        <v>227.9</v>
      </c>
      <c r="C1404" s="12">
        <v>303.8</v>
      </c>
      <c r="D1404" s="12">
        <v>4.63</v>
      </c>
      <c r="E1404" s="12">
        <v>0.62</v>
      </c>
      <c r="F1404" s="12">
        <v>50.0</v>
      </c>
      <c r="G1404" s="13">
        <v>44462.743480300924</v>
      </c>
      <c r="H1404" s="14">
        <f>IFERROR(__xludf.DUMMYFUNCTION("SPLIT(G1404, "", "")"),44462.0)</f>
        <v>44462</v>
      </c>
      <c r="I1404" s="15">
        <f>IFERROR(__xludf.DUMMYFUNCTION("""COMPUTED_VALUE"""),0.7434837962962964)</f>
        <v>0.7434837963</v>
      </c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</row>
    <row r="1405">
      <c r="A1405" s="12">
        <v>2.16</v>
      </c>
      <c r="B1405" s="12">
        <v>227.8</v>
      </c>
      <c r="C1405" s="12">
        <v>302.0</v>
      </c>
      <c r="D1405" s="12">
        <v>4.63</v>
      </c>
      <c r="E1405" s="12">
        <v>0.61</v>
      </c>
      <c r="F1405" s="12">
        <v>49.9</v>
      </c>
      <c r="G1405" s="13">
        <v>44462.74358439815</v>
      </c>
      <c r="H1405" s="14">
        <f>IFERROR(__xludf.DUMMYFUNCTION("SPLIT(G1405, "", "")"),44462.0)</f>
        <v>44462</v>
      </c>
      <c r="I1405" s="15">
        <f>IFERROR(__xludf.DUMMYFUNCTION("""COMPUTED_VALUE"""),0.7435879629629629)</f>
        <v>0.743587963</v>
      </c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</row>
    <row r="1406">
      <c r="A1406" s="12">
        <v>2.14</v>
      </c>
      <c r="B1406" s="12">
        <v>227.8</v>
      </c>
      <c r="C1406" s="12">
        <v>299.6</v>
      </c>
      <c r="D1406" s="12">
        <v>4.63</v>
      </c>
      <c r="E1406" s="12">
        <v>0.61</v>
      </c>
      <c r="F1406" s="12">
        <v>50.0</v>
      </c>
      <c r="G1406" s="13">
        <v>44462.74370552083</v>
      </c>
      <c r="H1406" s="14">
        <f>IFERROR(__xludf.DUMMYFUNCTION("SPLIT(G1406, "", "")"),44462.0)</f>
        <v>44462</v>
      </c>
      <c r="I1406" s="15">
        <f>IFERROR(__xludf.DUMMYFUNCTION("""COMPUTED_VALUE"""),0.7437037037037038)</f>
        <v>0.7437037037</v>
      </c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</row>
    <row r="1407">
      <c r="A1407" s="12">
        <v>2.13</v>
      </c>
      <c r="B1407" s="12">
        <v>227.8</v>
      </c>
      <c r="C1407" s="12">
        <v>297.2</v>
      </c>
      <c r="D1407" s="12">
        <v>4.63</v>
      </c>
      <c r="E1407" s="12">
        <v>0.61</v>
      </c>
      <c r="F1407" s="12">
        <v>49.9</v>
      </c>
      <c r="G1407" s="13">
        <v>44462.7438396875</v>
      </c>
      <c r="H1407" s="14">
        <f>IFERROR(__xludf.DUMMYFUNCTION("SPLIT(G1407, "", "")"),44462.0)</f>
        <v>44462</v>
      </c>
      <c r="I1407" s="15">
        <f>IFERROR(__xludf.DUMMYFUNCTION("""COMPUTED_VALUE"""),0.7438425925925926)</f>
        <v>0.7438425926</v>
      </c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</row>
    <row r="1408">
      <c r="A1408" s="12">
        <v>2.08</v>
      </c>
      <c r="B1408" s="12">
        <v>228.3</v>
      </c>
      <c r="C1408" s="12">
        <v>294.4</v>
      </c>
      <c r="D1408" s="12">
        <v>4.63</v>
      </c>
      <c r="E1408" s="12">
        <v>0.62</v>
      </c>
      <c r="F1408" s="12">
        <v>49.9</v>
      </c>
      <c r="G1408" s="13">
        <v>44462.743985416666</v>
      </c>
      <c r="H1408" s="14">
        <f>IFERROR(__xludf.DUMMYFUNCTION("SPLIT(G1408, "", "")"),44462.0)</f>
        <v>44462</v>
      </c>
      <c r="I1408" s="15">
        <f>IFERROR(__xludf.DUMMYFUNCTION("""COMPUTED_VALUE"""),0.7439814814814815)</f>
        <v>0.7439814815</v>
      </c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</row>
    <row r="1409">
      <c r="A1409" s="12">
        <v>2.09</v>
      </c>
      <c r="B1409" s="12">
        <v>228.0</v>
      </c>
      <c r="C1409" s="12">
        <v>292.2</v>
      </c>
      <c r="D1409" s="12">
        <v>4.63</v>
      </c>
      <c r="E1409" s="12">
        <v>0.61</v>
      </c>
      <c r="F1409" s="12">
        <v>50.0</v>
      </c>
      <c r="G1409" s="13">
        <v>44462.74409128472</v>
      </c>
      <c r="H1409" s="14">
        <f>IFERROR(__xludf.DUMMYFUNCTION("SPLIT(G1409, "", "")"),44462.0)</f>
        <v>44462</v>
      </c>
      <c r="I1409" s="15">
        <f>IFERROR(__xludf.DUMMYFUNCTION("""COMPUTED_VALUE"""),0.7440856481481481)</f>
        <v>0.7440856481</v>
      </c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</row>
    <row r="1410">
      <c r="A1410" s="12">
        <v>2.08</v>
      </c>
      <c r="B1410" s="12">
        <v>228.1</v>
      </c>
      <c r="C1410" s="12">
        <v>290.4</v>
      </c>
      <c r="D1410" s="12">
        <v>4.64</v>
      </c>
      <c r="E1410" s="12">
        <v>0.61</v>
      </c>
      <c r="F1410" s="12">
        <v>50.0</v>
      </c>
      <c r="G1410" s="13">
        <v>44462.74419085648</v>
      </c>
      <c r="H1410" s="14">
        <f>IFERROR(__xludf.DUMMYFUNCTION("SPLIT(G1410, "", "")"),44462.0)</f>
        <v>44462</v>
      </c>
      <c r="I1410" s="15">
        <f>IFERROR(__xludf.DUMMYFUNCTION("""COMPUTED_VALUE"""),0.7441898148148148)</f>
        <v>0.7441898148</v>
      </c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</row>
    <row r="1411">
      <c r="A1411" s="12">
        <v>2.05</v>
      </c>
      <c r="B1411" s="12">
        <v>228.4</v>
      </c>
      <c r="C1411" s="12">
        <v>288.7</v>
      </c>
      <c r="D1411" s="12">
        <v>4.64</v>
      </c>
      <c r="E1411" s="12">
        <v>0.62</v>
      </c>
      <c r="F1411" s="12">
        <v>50.0</v>
      </c>
      <c r="G1411" s="13">
        <v>44462.744287650465</v>
      </c>
      <c r="H1411" s="14">
        <f>IFERROR(__xludf.DUMMYFUNCTION("SPLIT(G1411, "", "")"),44462.0)</f>
        <v>44462</v>
      </c>
      <c r="I1411" s="15">
        <f>IFERROR(__xludf.DUMMYFUNCTION("""COMPUTED_VALUE"""),0.7442824074074074)</f>
        <v>0.7442824074</v>
      </c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</row>
    <row r="1412">
      <c r="A1412" s="12">
        <v>2.03</v>
      </c>
      <c r="B1412" s="12">
        <v>228.9</v>
      </c>
      <c r="C1412" s="12">
        <v>287.0</v>
      </c>
      <c r="D1412" s="12">
        <v>4.64</v>
      </c>
      <c r="E1412" s="12">
        <v>0.62</v>
      </c>
      <c r="F1412" s="12">
        <v>50.0</v>
      </c>
      <c r="G1412" s="13">
        <v>44462.74438703703</v>
      </c>
      <c r="H1412" s="14">
        <f>IFERROR(__xludf.DUMMYFUNCTION("SPLIT(G1412, "", "")"),44462.0)</f>
        <v>44462</v>
      </c>
      <c r="I1412" s="15">
        <f>IFERROR(__xludf.DUMMYFUNCTION("""COMPUTED_VALUE"""),0.744386574074074)</f>
        <v>0.7443865741</v>
      </c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</row>
    <row r="1413">
      <c r="A1413" s="12">
        <v>2.02</v>
      </c>
      <c r="B1413" s="12">
        <v>228.8</v>
      </c>
      <c r="C1413" s="12">
        <v>284.7</v>
      </c>
      <c r="D1413" s="12">
        <v>4.64</v>
      </c>
      <c r="E1413" s="12">
        <v>0.62</v>
      </c>
      <c r="F1413" s="12">
        <v>49.9</v>
      </c>
      <c r="G1413" s="13">
        <v>44462.74448765046</v>
      </c>
      <c r="H1413" s="14">
        <f>IFERROR(__xludf.DUMMYFUNCTION("SPLIT(G1413, "", "")"),44462.0)</f>
        <v>44462</v>
      </c>
      <c r="I1413" s="15">
        <f>IFERROR(__xludf.DUMMYFUNCTION("""COMPUTED_VALUE"""),0.7444907407407407)</f>
        <v>0.7444907407</v>
      </c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</row>
    <row r="1414">
      <c r="A1414" s="12">
        <v>2.02</v>
      </c>
      <c r="B1414" s="12">
        <v>228.7</v>
      </c>
      <c r="C1414" s="12">
        <v>283.1</v>
      </c>
      <c r="D1414" s="12">
        <v>4.64</v>
      </c>
      <c r="E1414" s="12">
        <v>0.61</v>
      </c>
      <c r="F1414" s="12">
        <v>49.9</v>
      </c>
      <c r="G1414" s="13">
        <v>44462.74459185185</v>
      </c>
      <c r="H1414" s="14">
        <f>IFERROR(__xludf.DUMMYFUNCTION("SPLIT(G1414, "", "")"),44462.0)</f>
        <v>44462</v>
      </c>
      <c r="I1414" s="15">
        <f>IFERROR(__xludf.DUMMYFUNCTION("""COMPUTED_VALUE"""),0.7445949074074074)</f>
        <v>0.7445949074</v>
      </c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</row>
    <row r="1415">
      <c r="A1415" s="12">
        <v>2.0</v>
      </c>
      <c r="B1415" s="12">
        <v>228.7</v>
      </c>
      <c r="C1415" s="12">
        <v>281.1</v>
      </c>
      <c r="D1415" s="12">
        <v>4.64</v>
      </c>
      <c r="E1415" s="12">
        <v>0.61</v>
      </c>
      <c r="F1415" s="12">
        <v>49.9</v>
      </c>
      <c r="G1415" s="13">
        <v>44462.74469175926</v>
      </c>
      <c r="H1415" s="14">
        <f>IFERROR(__xludf.DUMMYFUNCTION("SPLIT(G1415, "", "")"),44462.0)</f>
        <v>44462</v>
      </c>
      <c r="I1415" s="15">
        <f>IFERROR(__xludf.DUMMYFUNCTION("""COMPUTED_VALUE"""),0.7446875)</f>
        <v>0.7446875</v>
      </c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</row>
    <row r="1416">
      <c r="A1416" s="12">
        <v>1.98</v>
      </c>
      <c r="B1416" s="12">
        <v>228.8</v>
      </c>
      <c r="C1416" s="12">
        <v>279.0</v>
      </c>
      <c r="D1416" s="12">
        <v>4.64</v>
      </c>
      <c r="E1416" s="12">
        <v>0.62</v>
      </c>
      <c r="F1416" s="12">
        <v>49.9</v>
      </c>
      <c r="G1416" s="13">
        <v>44462.74479633102</v>
      </c>
      <c r="H1416" s="14">
        <f>IFERROR(__xludf.DUMMYFUNCTION("SPLIT(G1416, "", "")"),44462.0)</f>
        <v>44462</v>
      </c>
      <c r="I1416" s="15">
        <f>IFERROR(__xludf.DUMMYFUNCTION("""COMPUTED_VALUE"""),0.7447916666666666)</f>
        <v>0.7447916667</v>
      </c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</row>
    <row r="1417">
      <c r="A1417" s="12">
        <v>1.96</v>
      </c>
      <c r="B1417" s="12">
        <v>229.0</v>
      </c>
      <c r="C1417" s="12">
        <v>277.2</v>
      </c>
      <c r="D1417" s="12">
        <v>4.64</v>
      </c>
      <c r="E1417" s="12">
        <v>0.62</v>
      </c>
      <c r="F1417" s="12">
        <v>49.9</v>
      </c>
      <c r="G1417" s="13">
        <v>44462.744897881945</v>
      </c>
      <c r="H1417" s="14">
        <f>IFERROR(__xludf.DUMMYFUNCTION("SPLIT(G1417, "", "")"),44462.0)</f>
        <v>44462</v>
      </c>
      <c r="I1417" s="15">
        <f>IFERROR(__xludf.DUMMYFUNCTION("""COMPUTED_VALUE"""),0.7448958333333333)</f>
        <v>0.7448958333</v>
      </c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</row>
    <row r="1418">
      <c r="A1418" s="12">
        <v>1.94</v>
      </c>
      <c r="B1418" s="12">
        <v>228.9</v>
      </c>
      <c r="C1418" s="12">
        <v>274.7</v>
      </c>
      <c r="D1418" s="12">
        <v>4.64</v>
      </c>
      <c r="E1418" s="12">
        <v>0.62</v>
      </c>
      <c r="F1418" s="12">
        <v>49.9</v>
      </c>
      <c r="G1418" s="13">
        <v>44462.74503715278</v>
      </c>
      <c r="H1418" s="14">
        <f>IFERROR(__xludf.DUMMYFUNCTION("SPLIT(G1418, "", "")"),44462.0)</f>
        <v>44462</v>
      </c>
      <c r="I1418" s="15">
        <f>IFERROR(__xludf.DUMMYFUNCTION("""COMPUTED_VALUE"""),0.7450347222222222)</f>
        <v>0.7450347222</v>
      </c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</row>
    <row r="1419">
      <c r="A1419" s="12">
        <v>1.95</v>
      </c>
      <c r="B1419" s="12">
        <v>228.7</v>
      </c>
      <c r="C1419" s="12">
        <v>272.7</v>
      </c>
      <c r="D1419" s="12">
        <v>4.64</v>
      </c>
      <c r="E1419" s="12">
        <v>0.61</v>
      </c>
      <c r="F1419" s="12">
        <v>49.9</v>
      </c>
      <c r="G1419" s="13">
        <v>44462.74514186343</v>
      </c>
      <c r="H1419" s="14">
        <f>IFERROR(__xludf.DUMMYFUNCTION("SPLIT(G1419, "", "")"),44462.0)</f>
        <v>44462</v>
      </c>
      <c r="I1419" s="15">
        <f>IFERROR(__xludf.DUMMYFUNCTION("""COMPUTED_VALUE"""),0.7451388888888889)</f>
        <v>0.7451388889</v>
      </c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</row>
    <row r="1420">
      <c r="A1420" s="12">
        <v>1.93</v>
      </c>
      <c r="B1420" s="12">
        <v>228.7</v>
      </c>
      <c r="C1420" s="12">
        <v>270.9</v>
      </c>
      <c r="D1420" s="12">
        <v>4.64</v>
      </c>
      <c r="E1420" s="12">
        <v>0.61</v>
      </c>
      <c r="F1420" s="12">
        <v>49.9</v>
      </c>
      <c r="G1420" s="13">
        <v>44462.74524778935</v>
      </c>
      <c r="H1420" s="14">
        <f>IFERROR(__xludf.DUMMYFUNCTION("SPLIT(G1420, "", "")"),44462.0)</f>
        <v>44462</v>
      </c>
      <c r="I1420" s="15">
        <f>IFERROR(__xludf.DUMMYFUNCTION("""COMPUTED_VALUE"""),0.7452430555555556)</f>
        <v>0.7452430556</v>
      </c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</row>
    <row r="1421">
      <c r="A1421" s="12">
        <v>1.92</v>
      </c>
      <c r="B1421" s="12">
        <v>228.7</v>
      </c>
      <c r="C1421" s="12">
        <v>268.5</v>
      </c>
      <c r="D1421" s="12">
        <v>4.64</v>
      </c>
      <c r="E1421" s="12">
        <v>0.61</v>
      </c>
      <c r="F1421" s="12">
        <v>49.9</v>
      </c>
      <c r="G1421" s="13">
        <v>44462.74538245371</v>
      </c>
      <c r="H1421" s="14">
        <f>IFERROR(__xludf.DUMMYFUNCTION("SPLIT(G1421, "", "")"),44462.0)</f>
        <v>44462</v>
      </c>
      <c r="I1421" s="15">
        <f>IFERROR(__xludf.DUMMYFUNCTION("""COMPUTED_VALUE"""),0.7453819444444445)</f>
        <v>0.7453819444</v>
      </c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</row>
    <row r="1422">
      <c r="A1422" s="12">
        <v>1.9</v>
      </c>
      <c r="B1422" s="12">
        <v>228.7</v>
      </c>
      <c r="C1422" s="12">
        <v>266.3</v>
      </c>
      <c r="D1422" s="12">
        <v>4.64</v>
      </c>
      <c r="E1422" s="12">
        <v>0.61</v>
      </c>
      <c r="F1422" s="12">
        <v>49.9</v>
      </c>
      <c r="G1422" s="13">
        <v>44462.74548788194</v>
      </c>
      <c r="H1422" s="14">
        <f>IFERROR(__xludf.DUMMYFUNCTION("SPLIT(G1422, "", "")"),44462.0)</f>
        <v>44462</v>
      </c>
      <c r="I1422" s="15">
        <f>IFERROR(__xludf.DUMMYFUNCTION("""COMPUTED_VALUE"""),0.7454861111111111)</f>
        <v>0.7454861111</v>
      </c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</row>
    <row r="1423">
      <c r="A1423" s="12">
        <v>1.9</v>
      </c>
      <c r="B1423" s="12">
        <v>228.7</v>
      </c>
      <c r="C1423" s="12">
        <v>264.7</v>
      </c>
      <c r="D1423" s="12">
        <v>4.64</v>
      </c>
      <c r="E1423" s="12">
        <v>0.61</v>
      </c>
      <c r="F1423" s="12">
        <v>49.9</v>
      </c>
      <c r="G1423" s="13">
        <v>44462.7455896412</v>
      </c>
      <c r="H1423" s="14">
        <f>IFERROR(__xludf.DUMMYFUNCTION("SPLIT(G1423, "", "")"),44462.0)</f>
        <v>44462</v>
      </c>
      <c r="I1423" s="15">
        <f>IFERROR(__xludf.DUMMYFUNCTION("""COMPUTED_VALUE"""),0.7455902777777778)</f>
        <v>0.7455902778</v>
      </c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</row>
    <row r="1424">
      <c r="A1424" s="12">
        <v>1.88</v>
      </c>
      <c r="B1424" s="12">
        <v>228.6</v>
      </c>
      <c r="C1424" s="12">
        <v>262.9</v>
      </c>
      <c r="D1424" s="12">
        <v>4.64</v>
      </c>
      <c r="E1424" s="12">
        <v>0.61</v>
      </c>
      <c r="F1424" s="12">
        <v>49.9</v>
      </c>
      <c r="G1424" s="13">
        <v>44462.74569056713</v>
      </c>
      <c r="H1424" s="14">
        <f>IFERROR(__xludf.DUMMYFUNCTION("SPLIT(G1424, "", "")"),44462.0)</f>
        <v>44462</v>
      </c>
      <c r="I1424" s="15">
        <f>IFERROR(__xludf.DUMMYFUNCTION("""COMPUTED_VALUE"""),0.7456944444444444)</f>
        <v>0.7456944444</v>
      </c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</row>
    <row r="1425">
      <c r="A1425" s="12">
        <v>1.87</v>
      </c>
      <c r="B1425" s="12">
        <v>228.6</v>
      </c>
      <c r="C1425" s="12">
        <v>261.0</v>
      </c>
      <c r="D1425" s="12">
        <v>4.64</v>
      </c>
      <c r="E1425" s="12">
        <v>0.61</v>
      </c>
      <c r="F1425" s="12">
        <v>50.0</v>
      </c>
      <c r="G1425" s="13">
        <v>44462.74579018519</v>
      </c>
      <c r="H1425" s="14">
        <f>IFERROR(__xludf.DUMMYFUNCTION("SPLIT(G1425, "", "")"),44462.0)</f>
        <v>44462</v>
      </c>
      <c r="I1425" s="15">
        <f>IFERROR(__xludf.DUMMYFUNCTION("""COMPUTED_VALUE"""),0.7457870370370371)</f>
        <v>0.745787037</v>
      </c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</row>
    <row r="1426">
      <c r="A1426" s="12">
        <v>1.84</v>
      </c>
      <c r="B1426" s="12">
        <v>228.9</v>
      </c>
      <c r="C1426" s="12">
        <v>259.1</v>
      </c>
      <c r="D1426" s="12">
        <v>4.65</v>
      </c>
      <c r="E1426" s="12">
        <v>0.61</v>
      </c>
      <c r="F1426" s="12">
        <v>49.9</v>
      </c>
      <c r="G1426" s="13">
        <v>44462.745889502316</v>
      </c>
      <c r="H1426" s="14">
        <f>IFERROR(__xludf.DUMMYFUNCTION("SPLIT(G1426, "", "")"),44462.0)</f>
        <v>44462</v>
      </c>
      <c r="I1426" s="15">
        <f>IFERROR(__xludf.DUMMYFUNCTION("""COMPUTED_VALUE"""),0.7458912037037037)</f>
        <v>0.7458912037</v>
      </c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</row>
    <row r="1427">
      <c r="A1427" s="12">
        <v>1.84</v>
      </c>
      <c r="B1427" s="12">
        <v>228.7</v>
      </c>
      <c r="C1427" s="12">
        <v>257.0</v>
      </c>
      <c r="D1427" s="12">
        <v>4.65</v>
      </c>
      <c r="E1427" s="12">
        <v>0.61</v>
      </c>
      <c r="F1427" s="12">
        <v>49.9</v>
      </c>
      <c r="G1427" s="13">
        <v>44462.74599152778</v>
      </c>
      <c r="H1427" s="14">
        <f>IFERROR(__xludf.DUMMYFUNCTION("SPLIT(G1427, "", "")"),44462.0)</f>
        <v>44462</v>
      </c>
      <c r="I1427" s="15">
        <f>IFERROR(__xludf.DUMMYFUNCTION("""COMPUTED_VALUE"""),0.7459953703703703)</f>
        <v>0.7459953704</v>
      </c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</row>
    <row r="1428">
      <c r="A1428" s="12">
        <v>1.82</v>
      </c>
      <c r="B1428" s="12">
        <v>228.8</v>
      </c>
      <c r="C1428" s="12">
        <v>255.6</v>
      </c>
      <c r="D1428" s="12">
        <v>4.65</v>
      </c>
      <c r="E1428" s="12">
        <v>0.61</v>
      </c>
      <c r="F1428" s="12">
        <v>49.9</v>
      </c>
      <c r="G1428" s="13">
        <v>44462.74609270833</v>
      </c>
      <c r="H1428" s="14">
        <f>IFERROR(__xludf.DUMMYFUNCTION("SPLIT(G1428, "", "")"),44462.0)</f>
        <v>44462</v>
      </c>
      <c r="I1428" s="15">
        <f>IFERROR(__xludf.DUMMYFUNCTION("""COMPUTED_VALUE"""),0.746087962962963)</f>
        <v>0.746087963</v>
      </c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</row>
    <row r="1429">
      <c r="A1429" s="12">
        <v>1.83</v>
      </c>
      <c r="B1429" s="12">
        <v>228.5</v>
      </c>
      <c r="C1429" s="12">
        <v>253.8</v>
      </c>
      <c r="D1429" s="12">
        <v>4.65</v>
      </c>
      <c r="E1429" s="12">
        <v>0.61</v>
      </c>
      <c r="F1429" s="12">
        <v>50.0</v>
      </c>
      <c r="G1429" s="13">
        <v>44462.7461903588</v>
      </c>
      <c r="H1429" s="14">
        <f>IFERROR(__xludf.DUMMYFUNCTION("SPLIT(G1429, "", "")"),44462.0)</f>
        <v>44462</v>
      </c>
      <c r="I1429" s="15">
        <f>IFERROR(__xludf.DUMMYFUNCTION("""COMPUTED_VALUE"""),0.7461921296296297)</f>
        <v>0.7461921296</v>
      </c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</row>
    <row r="1430">
      <c r="A1430" s="12">
        <v>1.81</v>
      </c>
      <c r="B1430" s="12">
        <v>228.6</v>
      </c>
      <c r="C1430" s="12">
        <v>252.2</v>
      </c>
      <c r="D1430" s="12">
        <v>4.65</v>
      </c>
      <c r="E1430" s="12">
        <v>0.61</v>
      </c>
      <c r="F1430" s="12">
        <v>49.9</v>
      </c>
      <c r="G1430" s="13">
        <v>44462.746294247685</v>
      </c>
      <c r="H1430" s="14">
        <f>IFERROR(__xludf.DUMMYFUNCTION("SPLIT(G1430, "", "")"),44462.0)</f>
        <v>44462</v>
      </c>
      <c r="I1430" s="15">
        <f>IFERROR(__xludf.DUMMYFUNCTION("""COMPUTED_VALUE"""),0.7462962962962963)</f>
        <v>0.7462962963</v>
      </c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</row>
    <row r="1431">
      <c r="A1431" s="12">
        <v>1.8</v>
      </c>
      <c r="B1431" s="12">
        <v>228.4</v>
      </c>
      <c r="C1431" s="12">
        <v>250.3</v>
      </c>
      <c r="D1431" s="12">
        <v>4.65</v>
      </c>
      <c r="E1431" s="12">
        <v>0.61</v>
      </c>
      <c r="F1431" s="12">
        <v>49.9</v>
      </c>
      <c r="G1431" s="13">
        <v>44462.74640503472</v>
      </c>
      <c r="H1431" s="14">
        <f>IFERROR(__xludf.DUMMYFUNCTION("SPLIT(G1431, "", "")"),44462.0)</f>
        <v>44462</v>
      </c>
      <c r="I1431" s="15">
        <f>IFERROR(__xludf.DUMMYFUNCTION("""COMPUTED_VALUE"""),0.7464004629629629)</f>
        <v>0.746400463</v>
      </c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</row>
    <row r="1432">
      <c r="A1432" s="12">
        <v>1.77</v>
      </c>
      <c r="B1432" s="12">
        <v>228.7</v>
      </c>
      <c r="C1432" s="12">
        <v>248.1</v>
      </c>
      <c r="D1432" s="12">
        <v>4.65</v>
      </c>
      <c r="E1432" s="12">
        <v>0.61</v>
      </c>
      <c r="F1432" s="12">
        <v>49.9</v>
      </c>
      <c r="G1432" s="13">
        <v>44462.74651159722</v>
      </c>
      <c r="H1432" s="14">
        <f>IFERROR(__xludf.DUMMYFUNCTION("SPLIT(G1432, "", "")"),44462.0)</f>
        <v>44462</v>
      </c>
      <c r="I1432" s="15">
        <f>IFERROR(__xludf.DUMMYFUNCTION("""COMPUTED_VALUE"""),0.7465162037037038)</f>
        <v>0.7465162037</v>
      </c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</row>
    <row r="1433">
      <c r="A1433" s="12">
        <v>1.78</v>
      </c>
      <c r="B1433" s="12">
        <v>228.3</v>
      </c>
      <c r="C1433" s="12">
        <v>246.4</v>
      </c>
      <c r="D1433" s="12">
        <v>4.65</v>
      </c>
      <c r="E1433" s="12">
        <v>0.61</v>
      </c>
      <c r="F1433" s="12">
        <v>49.9</v>
      </c>
      <c r="G1433" s="13">
        <v>44462.74661707176</v>
      </c>
      <c r="H1433" s="14">
        <f>IFERROR(__xludf.DUMMYFUNCTION("SPLIT(G1433, "", "")"),44462.0)</f>
        <v>44462</v>
      </c>
      <c r="I1433" s="15">
        <f>IFERROR(__xludf.DUMMYFUNCTION("""COMPUTED_VALUE"""),0.7466203703703703)</f>
        <v>0.7466203704</v>
      </c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</row>
    <row r="1434">
      <c r="A1434" s="12">
        <v>1.78</v>
      </c>
      <c r="B1434" s="12">
        <v>228.4</v>
      </c>
      <c r="C1434" s="12">
        <v>244.6</v>
      </c>
      <c r="D1434" s="12">
        <v>4.65</v>
      </c>
      <c r="E1434" s="12">
        <v>0.6</v>
      </c>
      <c r="F1434" s="12">
        <v>49.9</v>
      </c>
      <c r="G1434" s="13">
        <v>44462.746722118056</v>
      </c>
      <c r="H1434" s="14">
        <f>IFERROR(__xludf.DUMMYFUNCTION("SPLIT(G1434, "", "")"),44462.0)</f>
        <v>44462</v>
      </c>
      <c r="I1434" s="15">
        <f>IFERROR(__xludf.DUMMYFUNCTION("""COMPUTED_VALUE"""),0.746724537037037)</f>
        <v>0.746724537</v>
      </c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</row>
    <row r="1435">
      <c r="A1435" s="12">
        <v>1.75</v>
      </c>
      <c r="B1435" s="12">
        <v>228.7</v>
      </c>
      <c r="C1435" s="12">
        <v>243.0</v>
      </c>
      <c r="D1435" s="12">
        <v>4.65</v>
      </c>
      <c r="E1435" s="12">
        <v>0.61</v>
      </c>
      <c r="F1435" s="12">
        <v>49.9</v>
      </c>
      <c r="G1435" s="13">
        <v>44462.746822974535</v>
      </c>
      <c r="H1435" s="14">
        <f>IFERROR(__xludf.DUMMYFUNCTION("SPLIT(G1435, "", "")"),44462.0)</f>
        <v>44462</v>
      </c>
      <c r="I1435" s="15">
        <f>IFERROR(__xludf.DUMMYFUNCTION("""COMPUTED_VALUE"""),0.7468287037037037)</f>
        <v>0.7468287037</v>
      </c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</row>
    <row r="1436">
      <c r="A1436" s="12">
        <v>1.73</v>
      </c>
      <c r="B1436" s="12">
        <v>228.6</v>
      </c>
      <c r="C1436" s="12">
        <v>241.3</v>
      </c>
      <c r="D1436" s="12">
        <v>4.65</v>
      </c>
      <c r="E1436" s="12">
        <v>0.61</v>
      </c>
      <c r="F1436" s="12">
        <v>50.0</v>
      </c>
      <c r="G1436" s="13">
        <v>44462.74692763889</v>
      </c>
      <c r="H1436" s="14">
        <f>IFERROR(__xludf.DUMMYFUNCTION("SPLIT(G1436, "", "")"),44462.0)</f>
        <v>44462</v>
      </c>
      <c r="I1436" s="15">
        <f>IFERROR(__xludf.DUMMYFUNCTION("""COMPUTED_VALUE"""),0.7469328703703704)</f>
        <v>0.7469328704</v>
      </c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</row>
    <row r="1437">
      <c r="A1437" s="12">
        <v>1.73</v>
      </c>
      <c r="B1437" s="12">
        <v>228.1</v>
      </c>
      <c r="C1437" s="12">
        <v>239.3</v>
      </c>
      <c r="D1437" s="12">
        <v>4.65</v>
      </c>
      <c r="E1437" s="12">
        <v>0.61</v>
      </c>
      <c r="F1437" s="12">
        <v>49.9</v>
      </c>
      <c r="G1437" s="13">
        <v>44462.747033865744</v>
      </c>
      <c r="H1437" s="14">
        <f>IFERROR(__xludf.DUMMYFUNCTION("SPLIT(G1437, "", "")"),44462.0)</f>
        <v>44462</v>
      </c>
      <c r="I1437" s="15">
        <f>IFERROR(__xludf.DUMMYFUNCTION("""COMPUTED_VALUE"""),0.747037037037037)</f>
        <v>0.747037037</v>
      </c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</row>
    <row r="1438">
      <c r="A1438" s="12">
        <v>1.72</v>
      </c>
      <c r="B1438" s="12">
        <v>228.3</v>
      </c>
      <c r="C1438" s="12">
        <v>237.5</v>
      </c>
      <c r="D1438" s="12">
        <v>4.65</v>
      </c>
      <c r="E1438" s="12">
        <v>0.61</v>
      </c>
      <c r="F1438" s="12">
        <v>49.9</v>
      </c>
      <c r="G1438" s="13">
        <v>44462.747135405094</v>
      </c>
      <c r="H1438" s="14">
        <f>IFERROR(__xludf.DUMMYFUNCTION("SPLIT(G1438, "", "")"),44462.0)</f>
        <v>44462</v>
      </c>
      <c r="I1438" s="15">
        <f>IFERROR(__xludf.DUMMYFUNCTION("""COMPUTED_VALUE"""),0.7471296296296296)</f>
        <v>0.7471296296</v>
      </c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</row>
    <row r="1439">
      <c r="A1439" s="12">
        <v>1.7</v>
      </c>
      <c r="B1439" s="12">
        <v>228.4</v>
      </c>
      <c r="C1439" s="12">
        <v>235.4</v>
      </c>
      <c r="D1439" s="12">
        <v>4.65</v>
      </c>
      <c r="E1439" s="12">
        <v>0.61</v>
      </c>
      <c r="F1439" s="12">
        <v>49.9</v>
      </c>
      <c r="G1439" s="13">
        <v>44462.747271875</v>
      </c>
      <c r="H1439" s="14">
        <f>IFERROR(__xludf.DUMMYFUNCTION("SPLIT(G1439, "", "")"),44462.0)</f>
        <v>44462</v>
      </c>
      <c r="I1439" s="15">
        <f>IFERROR(__xludf.DUMMYFUNCTION("""COMPUTED_VALUE"""),0.7472685185185185)</f>
        <v>0.7472685185</v>
      </c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</row>
    <row r="1440">
      <c r="A1440" s="12">
        <v>1.7</v>
      </c>
      <c r="B1440" s="12">
        <v>228.4</v>
      </c>
      <c r="C1440" s="12">
        <v>233.5</v>
      </c>
      <c r="D1440" s="12">
        <v>4.66</v>
      </c>
      <c r="E1440" s="12">
        <v>0.6</v>
      </c>
      <c r="F1440" s="12">
        <v>49.9</v>
      </c>
      <c r="G1440" s="13">
        <v>44462.74737875</v>
      </c>
      <c r="H1440" s="14">
        <f>IFERROR(__xludf.DUMMYFUNCTION("SPLIT(G1440, "", "")"),44462.0)</f>
        <v>44462</v>
      </c>
      <c r="I1440" s="15">
        <f>IFERROR(__xludf.DUMMYFUNCTION("""COMPUTED_VALUE"""),0.7473842592592592)</f>
        <v>0.7473842593</v>
      </c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</row>
    <row r="1441">
      <c r="A1441" s="12">
        <v>1.68</v>
      </c>
      <c r="B1441" s="12">
        <v>228.5</v>
      </c>
      <c r="C1441" s="12">
        <v>231.8</v>
      </c>
      <c r="D1441" s="12">
        <v>4.66</v>
      </c>
      <c r="E1441" s="12">
        <v>0.6</v>
      </c>
      <c r="F1441" s="12">
        <v>50.0</v>
      </c>
      <c r="G1441" s="13">
        <v>44462.74747645833</v>
      </c>
      <c r="H1441" s="14">
        <f>IFERROR(__xludf.DUMMYFUNCTION("SPLIT(G1441, "", "")"),44462.0)</f>
        <v>44462</v>
      </c>
      <c r="I1441" s="15">
        <f>IFERROR(__xludf.DUMMYFUNCTION("""COMPUTED_VALUE"""),0.7474768518518519)</f>
        <v>0.7474768519</v>
      </c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</row>
    <row r="1442">
      <c r="A1442" s="12">
        <v>1.66</v>
      </c>
      <c r="B1442" s="12">
        <v>228.6</v>
      </c>
      <c r="C1442" s="12">
        <v>230.0</v>
      </c>
      <c r="D1442" s="12">
        <v>4.66</v>
      </c>
      <c r="E1442" s="12">
        <v>0.61</v>
      </c>
      <c r="F1442" s="12">
        <v>49.9</v>
      </c>
      <c r="G1442" s="13">
        <v>44462.74757840278</v>
      </c>
      <c r="H1442" s="14">
        <f>IFERROR(__xludf.DUMMYFUNCTION("SPLIT(G1442, "", "")"),44462.0)</f>
        <v>44462</v>
      </c>
      <c r="I1442" s="15">
        <f>IFERROR(__xludf.DUMMYFUNCTION("""COMPUTED_VALUE"""),0.7475810185185185)</f>
        <v>0.7475810185</v>
      </c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</row>
    <row r="1443">
      <c r="A1443" s="12">
        <v>1.65</v>
      </c>
      <c r="B1443" s="12">
        <v>228.7</v>
      </c>
      <c r="C1443" s="12">
        <v>228.6</v>
      </c>
      <c r="D1443" s="12">
        <v>4.66</v>
      </c>
      <c r="E1443" s="12">
        <v>0.6</v>
      </c>
      <c r="F1443" s="12">
        <v>50.0</v>
      </c>
      <c r="G1443" s="13">
        <v>44462.74768342593</v>
      </c>
      <c r="H1443" s="14">
        <f>IFERROR(__xludf.DUMMYFUNCTION("SPLIT(G1443, "", "")"),44462.0)</f>
        <v>44462</v>
      </c>
      <c r="I1443" s="15">
        <f>IFERROR(__xludf.DUMMYFUNCTION("""COMPUTED_VALUE"""),0.7476851851851852)</f>
        <v>0.7476851852</v>
      </c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</row>
    <row r="1444">
      <c r="A1444" s="12">
        <v>1.63</v>
      </c>
      <c r="B1444" s="12">
        <v>228.7</v>
      </c>
      <c r="C1444" s="12">
        <v>226.9</v>
      </c>
      <c r="D1444" s="12">
        <v>4.66</v>
      </c>
      <c r="E1444" s="12">
        <v>0.61</v>
      </c>
      <c r="F1444" s="12">
        <v>50.0</v>
      </c>
      <c r="G1444" s="13">
        <v>44462.7477915625</v>
      </c>
      <c r="H1444" s="14">
        <f>IFERROR(__xludf.DUMMYFUNCTION("SPLIT(G1444, "", "")"),44462.0)</f>
        <v>44462</v>
      </c>
      <c r="I1444" s="15">
        <f>IFERROR(__xludf.DUMMYFUNCTION("""COMPUTED_VALUE"""),0.7477893518518518)</f>
        <v>0.7477893519</v>
      </c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</row>
    <row r="1445">
      <c r="A1445" s="12">
        <v>1.64</v>
      </c>
      <c r="B1445" s="12">
        <v>228.5</v>
      </c>
      <c r="C1445" s="12">
        <v>225.2</v>
      </c>
      <c r="D1445" s="12">
        <v>4.66</v>
      </c>
      <c r="E1445" s="12">
        <v>0.6</v>
      </c>
      <c r="F1445" s="12">
        <v>50.0</v>
      </c>
      <c r="G1445" s="13">
        <v>44462.747898472226</v>
      </c>
      <c r="H1445" s="14">
        <f>IFERROR(__xludf.DUMMYFUNCTION("SPLIT(G1445, "", "")"),44462.0)</f>
        <v>44462</v>
      </c>
      <c r="I1445" s="15">
        <f>IFERROR(__xludf.DUMMYFUNCTION("""COMPUTED_VALUE"""),0.7478935185185185)</f>
        <v>0.7478935185</v>
      </c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</row>
    <row r="1446">
      <c r="A1446" s="12">
        <v>1.61</v>
      </c>
      <c r="B1446" s="12">
        <v>228.9</v>
      </c>
      <c r="C1446" s="12">
        <v>223.7</v>
      </c>
      <c r="D1446" s="12">
        <v>4.66</v>
      </c>
      <c r="E1446" s="12">
        <v>0.61</v>
      </c>
      <c r="F1446" s="12">
        <v>50.0</v>
      </c>
      <c r="G1446" s="13">
        <v>44462.747996238424</v>
      </c>
      <c r="H1446" s="14">
        <f>IFERROR(__xludf.DUMMYFUNCTION("SPLIT(G1446, "", "")"),44462.0)</f>
        <v>44462</v>
      </c>
      <c r="I1446" s="15">
        <f>IFERROR(__xludf.DUMMYFUNCTION("""COMPUTED_VALUE"""),0.7479976851851852)</f>
        <v>0.7479976852</v>
      </c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</row>
    <row r="1447">
      <c r="A1447" s="12">
        <v>1.61</v>
      </c>
      <c r="B1447" s="12">
        <v>228.6</v>
      </c>
      <c r="C1447" s="12">
        <v>221.9</v>
      </c>
      <c r="D1447" s="12">
        <v>4.66</v>
      </c>
      <c r="E1447" s="12">
        <v>0.6</v>
      </c>
      <c r="F1447" s="12">
        <v>50.0</v>
      </c>
      <c r="G1447" s="13">
        <v>44462.74809435185</v>
      </c>
      <c r="H1447" s="14">
        <f>IFERROR(__xludf.DUMMYFUNCTION("SPLIT(G1447, "", "")"),44462.0)</f>
        <v>44462</v>
      </c>
      <c r="I1447" s="15">
        <f>IFERROR(__xludf.DUMMYFUNCTION("""COMPUTED_VALUE"""),0.7480902777777778)</f>
        <v>0.7480902778</v>
      </c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</row>
    <row r="1448">
      <c r="A1448" s="12">
        <v>1.6</v>
      </c>
      <c r="B1448" s="12">
        <v>228.8</v>
      </c>
      <c r="C1448" s="12">
        <v>220.3</v>
      </c>
      <c r="D1448" s="12">
        <v>4.66</v>
      </c>
      <c r="E1448" s="12">
        <v>0.6</v>
      </c>
      <c r="F1448" s="12">
        <v>50.0</v>
      </c>
      <c r="G1448" s="13">
        <v>44462.748198333335</v>
      </c>
      <c r="H1448" s="14">
        <f>IFERROR(__xludf.DUMMYFUNCTION("SPLIT(G1448, "", "")"),44462.0)</f>
        <v>44462</v>
      </c>
      <c r="I1448" s="15">
        <f>IFERROR(__xludf.DUMMYFUNCTION("""COMPUTED_VALUE"""),0.7481944444444445)</f>
        <v>0.7481944444</v>
      </c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</row>
    <row r="1449">
      <c r="A1449" s="12">
        <v>1.57</v>
      </c>
      <c r="B1449" s="12">
        <v>229.1</v>
      </c>
      <c r="C1449" s="12">
        <v>218.4</v>
      </c>
      <c r="D1449" s="12">
        <v>4.66</v>
      </c>
      <c r="E1449" s="12">
        <v>0.61</v>
      </c>
      <c r="F1449" s="12">
        <v>50.0</v>
      </c>
      <c r="G1449" s="13">
        <v>44462.74830364583</v>
      </c>
      <c r="H1449" s="14">
        <f>IFERROR(__xludf.DUMMYFUNCTION("SPLIT(G1449, "", "")"),44462.0)</f>
        <v>44462</v>
      </c>
      <c r="I1449" s="15">
        <f>IFERROR(__xludf.DUMMYFUNCTION("""COMPUTED_VALUE"""),0.7482986111111111)</f>
        <v>0.7482986111</v>
      </c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</row>
    <row r="1450">
      <c r="A1450" s="12">
        <v>1.58</v>
      </c>
      <c r="B1450" s="12">
        <v>228.9</v>
      </c>
      <c r="C1450" s="12">
        <v>217.1</v>
      </c>
      <c r="D1450" s="12">
        <v>4.66</v>
      </c>
      <c r="E1450" s="12">
        <v>0.6</v>
      </c>
      <c r="F1450" s="12">
        <v>50.0</v>
      </c>
      <c r="G1450" s="13">
        <v>44462.74840700232</v>
      </c>
      <c r="H1450" s="14">
        <f>IFERROR(__xludf.DUMMYFUNCTION("SPLIT(G1450, "", "")"),44462.0)</f>
        <v>44462</v>
      </c>
      <c r="I1450" s="15">
        <f>IFERROR(__xludf.DUMMYFUNCTION("""COMPUTED_VALUE"""),0.7484027777777778)</f>
        <v>0.7484027778</v>
      </c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</row>
    <row r="1451">
      <c r="A1451" s="12">
        <v>1.57</v>
      </c>
      <c r="B1451" s="12">
        <v>228.9</v>
      </c>
      <c r="C1451" s="12">
        <v>215.5</v>
      </c>
      <c r="D1451" s="12">
        <v>4.66</v>
      </c>
      <c r="E1451" s="12">
        <v>0.6</v>
      </c>
      <c r="F1451" s="12">
        <v>50.0</v>
      </c>
      <c r="G1451" s="13">
        <v>44462.748507013894</v>
      </c>
      <c r="H1451" s="14">
        <f>IFERROR(__xludf.DUMMYFUNCTION("SPLIT(G1451, "", "")"),44462.0)</f>
        <v>44462</v>
      </c>
      <c r="I1451" s="15">
        <f>IFERROR(__xludf.DUMMYFUNCTION("""COMPUTED_VALUE"""),0.7485069444444444)</f>
        <v>0.7485069444</v>
      </c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</row>
    <row r="1452">
      <c r="A1452" s="12">
        <v>1.57</v>
      </c>
      <c r="B1452" s="12">
        <v>229.1</v>
      </c>
      <c r="C1452" s="12">
        <v>213.8</v>
      </c>
      <c r="D1452" s="12">
        <v>4.66</v>
      </c>
      <c r="E1452" s="12">
        <v>0.59</v>
      </c>
      <c r="F1452" s="12">
        <v>50.0</v>
      </c>
      <c r="G1452" s="13">
        <v>44462.748607650465</v>
      </c>
      <c r="H1452" s="14">
        <f>IFERROR(__xludf.DUMMYFUNCTION("SPLIT(G1452, "", "")"),44462.0)</f>
        <v>44462</v>
      </c>
      <c r="I1452" s="15">
        <f>IFERROR(__xludf.DUMMYFUNCTION("""COMPUTED_VALUE"""),0.7486111111111111)</f>
        <v>0.7486111111</v>
      </c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</row>
    <row r="1453">
      <c r="A1453" s="12">
        <v>1.56</v>
      </c>
      <c r="B1453" s="12">
        <v>229.0</v>
      </c>
      <c r="C1453" s="12">
        <v>212.3</v>
      </c>
      <c r="D1453" s="12">
        <v>4.66</v>
      </c>
      <c r="E1453" s="12">
        <v>0.59</v>
      </c>
      <c r="F1453" s="12">
        <v>50.0</v>
      </c>
      <c r="G1453" s="13">
        <v>44462.74870946759</v>
      </c>
      <c r="H1453" s="14">
        <f>IFERROR(__xludf.DUMMYFUNCTION("SPLIT(G1453, "", "")"),44462.0)</f>
        <v>44462</v>
      </c>
      <c r="I1453" s="15">
        <f>IFERROR(__xludf.DUMMYFUNCTION("""COMPUTED_VALUE"""),0.7487037037037036)</f>
        <v>0.7487037037</v>
      </c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</row>
    <row r="1454">
      <c r="A1454" s="12">
        <v>1.53</v>
      </c>
      <c r="B1454" s="12">
        <v>229.0</v>
      </c>
      <c r="C1454" s="12">
        <v>210.2</v>
      </c>
      <c r="D1454" s="12">
        <v>4.66</v>
      </c>
      <c r="E1454" s="12">
        <v>0.6</v>
      </c>
      <c r="F1454" s="12">
        <v>50.0</v>
      </c>
      <c r="G1454" s="13">
        <v>44462.74884847223</v>
      </c>
      <c r="H1454" s="14">
        <f>IFERROR(__xludf.DUMMYFUNCTION("SPLIT(G1454, "", "")"),44462.0)</f>
        <v>44462</v>
      </c>
      <c r="I1454" s="15">
        <f>IFERROR(__xludf.DUMMYFUNCTION("""COMPUTED_VALUE"""),0.7488541666666667)</f>
        <v>0.7488541667</v>
      </c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</row>
    <row r="1455">
      <c r="A1455" s="12">
        <v>1.53</v>
      </c>
      <c r="B1455" s="12">
        <v>229.1</v>
      </c>
      <c r="C1455" s="12">
        <v>208.4</v>
      </c>
      <c r="D1455" s="12">
        <v>4.66</v>
      </c>
      <c r="E1455" s="12">
        <v>0.6</v>
      </c>
      <c r="F1455" s="12">
        <v>50.0</v>
      </c>
      <c r="G1455" s="13">
        <v>44462.74896909722</v>
      </c>
      <c r="H1455" s="14">
        <f>IFERROR(__xludf.DUMMYFUNCTION("SPLIT(G1455, "", "")"),44462.0)</f>
        <v>44462</v>
      </c>
      <c r="I1455" s="15">
        <f>IFERROR(__xludf.DUMMYFUNCTION("""COMPUTED_VALUE"""),0.7489699074074074)</f>
        <v>0.7489699074</v>
      </c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</row>
    <row r="1456">
      <c r="A1456" s="12">
        <v>1.51</v>
      </c>
      <c r="B1456" s="12">
        <v>228.9</v>
      </c>
      <c r="C1456" s="12">
        <v>206.6</v>
      </c>
      <c r="D1456" s="12">
        <v>4.66</v>
      </c>
      <c r="E1456" s="12">
        <v>0.6</v>
      </c>
      <c r="F1456" s="12">
        <v>50.0</v>
      </c>
      <c r="G1456" s="13">
        <v>44462.74907157407</v>
      </c>
      <c r="H1456" s="14">
        <f>IFERROR(__xludf.DUMMYFUNCTION("SPLIT(G1456, "", "")"),44462.0)</f>
        <v>44462</v>
      </c>
      <c r="I1456" s="15">
        <f>IFERROR(__xludf.DUMMYFUNCTION("""COMPUTED_VALUE"""),0.7490740740740741)</f>
        <v>0.7490740741</v>
      </c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</row>
    <row r="1457">
      <c r="A1457" s="12">
        <v>1.5</v>
      </c>
      <c r="B1457" s="12">
        <v>228.9</v>
      </c>
      <c r="C1457" s="12">
        <v>205.3</v>
      </c>
      <c r="D1457" s="12">
        <v>4.66</v>
      </c>
      <c r="E1457" s="12">
        <v>0.6</v>
      </c>
      <c r="F1457" s="12">
        <v>50.0</v>
      </c>
      <c r="G1457" s="13">
        <v>44462.749177210644</v>
      </c>
      <c r="H1457" s="14">
        <f>IFERROR(__xludf.DUMMYFUNCTION("SPLIT(G1457, "", "")"),44462.0)</f>
        <v>44462</v>
      </c>
      <c r="I1457" s="15">
        <f>IFERROR(__xludf.DUMMYFUNCTION("""COMPUTED_VALUE"""),0.7491782407407407)</f>
        <v>0.7491782407</v>
      </c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</row>
    <row r="1458">
      <c r="A1458" s="12">
        <v>1.49</v>
      </c>
      <c r="B1458" s="12">
        <v>228.8</v>
      </c>
      <c r="C1458" s="12">
        <v>203.7</v>
      </c>
      <c r="D1458" s="12">
        <v>4.66</v>
      </c>
      <c r="E1458" s="12">
        <v>0.6</v>
      </c>
      <c r="F1458" s="12">
        <v>49.9</v>
      </c>
      <c r="G1458" s="13">
        <v>44462.749286238424</v>
      </c>
      <c r="H1458" s="14">
        <f>IFERROR(__xludf.DUMMYFUNCTION("SPLIT(G1458, "", "")"),44462.0)</f>
        <v>44462</v>
      </c>
      <c r="I1458" s="15">
        <f>IFERROR(__xludf.DUMMYFUNCTION("""COMPUTED_VALUE"""),0.7492824074074074)</f>
        <v>0.7492824074</v>
      </c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</row>
    <row r="1459">
      <c r="A1459" s="12">
        <v>1.49</v>
      </c>
      <c r="B1459" s="12">
        <v>228.9</v>
      </c>
      <c r="C1459" s="12">
        <v>202.2</v>
      </c>
      <c r="D1459" s="12">
        <v>4.66</v>
      </c>
      <c r="E1459" s="12">
        <v>0.59</v>
      </c>
      <c r="F1459" s="12">
        <v>50.0</v>
      </c>
      <c r="G1459" s="13">
        <v>44462.74939363426</v>
      </c>
      <c r="H1459" s="14">
        <f>IFERROR(__xludf.DUMMYFUNCTION("SPLIT(G1459, "", "")"),44462.0)</f>
        <v>44462</v>
      </c>
      <c r="I1459" s="15">
        <f>IFERROR(__xludf.DUMMYFUNCTION("""COMPUTED_VALUE"""),0.7493981481481482)</f>
        <v>0.7493981481</v>
      </c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</row>
    <row r="1460">
      <c r="A1460" s="12">
        <v>1.45</v>
      </c>
      <c r="B1460" s="12">
        <v>229.2</v>
      </c>
      <c r="C1460" s="12">
        <v>200.8</v>
      </c>
      <c r="D1460" s="12">
        <v>4.67</v>
      </c>
      <c r="E1460" s="12">
        <v>0.6</v>
      </c>
      <c r="F1460" s="12">
        <v>49.9</v>
      </c>
      <c r="G1460" s="13">
        <v>44462.74949770833</v>
      </c>
      <c r="H1460" s="14">
        <f>IFERROR(__xludf.DUMMYFUNCTION("SPLIT(G1460, "", "")"),44462.0)</f>
        <v>44462</v>
      </c>
      <c r="I1460" s="15">
        <f>IFERROR(__xludf.DUMMYFUNCTION("""COMPUTED_VALUE"""),0.7495023148148148)</f>
        <v>0.7495023148</v>
      </c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</row>
    <row r="1461">
      <c r="A1461" s="12">
        <v>1.46</v>
      </c>
      <c r="B1461" s="12">
        <v>228.7</v>
      </c>
      <c r="C1461" s="12">
        <v>199.3</v>
      </c>
      <c r="D1461" s="12">
        <v>4.67</v>
      </c>
      <c r="E1461" s="12">
        <v>0.6</v>
      </c>
      <c r="F1461" s="12">
        <v>49.9</v>
      </c>
      <c r="G1461" s="13">
        <v>44462.749601689815</v>
      </c>
      <c r="H1461" s="14">
        <f>IFERROR(__xludf.DUMMYFUNCTION("SPLIT(G1461, "", "")"),44462.0)</f>
        <v>44462</v>
      </c>
      <c r="I1461" s="15">
        <f>IFERROR(__xludf.DUMMYFUNCTION("""COMPUTED_VALUE"""),0.7496064814814815)</f>
        <v>0.7496064815</v>
      </c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</row>
    <row r="1462">
      <c r="A1462" s="12">
        <v>1.45</v>
      </c>
      <c r="B1462" s="12">
        <v>228.6</v>
      </c>
      <c r="C1462" s="12">
        <v>197.5</v>
      </c>
      <c r="D1462" s="12">
        <v>4.67</v>
      </c>
      <c r="E1462" s="12">
        <v>0.6</v>
      </c>
      <c r="F1462" s="12">
        <v>49.9</v>
      </c>
      <c r="G1462" s="13">
        <v>44462.74973388889</v>
      </c>
      <c r="H1462" s="14">
        <f>IFERROR(__xludf.DUMMYFUNCTION("SPLIT(G1462, "", "")"),44462.0)</f>
        <v>44462</v>
      </c>
      <c r="I1462" s="15">
        <f>IFERROR(__xludf.DUMMYFUNCTION("""COMPUTED_VALUE"""),0.7497337962962963)</f>
        <v>0.7497337963</v>
      </c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</row>
    <row r="1463">
      <c r="A1463" s="12">
        <v>1.42</v>
      </c>
      <c r="B1463" s="12">
        <v>229.1</v>
      </c>
      <c r="C1463" s="12">
        <v>196.0</v>
      </c>
      <c r="D1463" s="12">
        <v>4.67</v>
      </c>
      <c r="E1463" s="12">
        <v>0.6</v>
      </c>
      <c r="F1463" s="12">
        <v>49.9</v>
      </c>
      <c r="G1463" s="13">
        <v>44462.749834780094</v>
      </c>
      <c r="H1463" s="14">
        <f>IFERROR(__xludf.DUMMYFUNCTION("SPLIT(G1463, "", "")"),44462.0)</f>
        <v>44462</v>
      </c>
      <c r="I1463" s="15">
        <f>IFERROR(__xludf.DUMMYFUNCTION("""COMPUTED_VALUE"""),0.749837962962963)</f>
        <v>0.749837963</v>
      </c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</row>
    <row r="1464">
      <c r="A1464" s="12">
        <v>1.43</v>
      </c>
      <c r="B1464" s="12">
        <v>228.6</v>
      </c>
      <c r="C1464" s="12">
        <v>194.8</v>
      </c>
      <c r="D1464" s="12">
        <v>4.67</v>
      </c>
      <c r="E1464" s="12">
        <v>0.6</v>
      </c>
      <c r="F1464" s="12">
        <v>50.0</v>
      </c>
      <c r="G1464" s="13">
        <v>44462.749934259264</v>
      </c>
      <c r="H1464" s="14">
        <f>IFERROR(__xludf.DUMMYFUNCTION("SPLIT(G1464, "", "")"),44462.0)</f>
        <v>44462</v>
      </c>
      <c r="I1464" s="15">
        <f>IFERROR(__xludf.DUMMYFUNCTION("""COMPUTED_VALUE"""),0.7499305555555555)</f>
        <v>0.7499305556</v>
      </c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</row>
    <row r="1465">
      <c r="A1465" s="12">
        <v>1.4</v>
      </c>
      <c r="B1465" s="12">
        <v>229.1</v>
      </c>
      <c r="C1465" s="12">
        <v>193.4</v>
      </c>
      <c r="D1465" s="12">
        <v>4.67</v>
      </c>
      <c r="E1465" s="12">
        <v>0.6</v>
      </c>
      <c r="F1465" s="12">
        <v>50.0</v>
      </c>
      <c r="G1465" s="13">
        <v>44462.75003671296</v>
      </c>
      <c r="H1465" s="14">
        <f>IFERROR(__xludf.DUMMYFUNCTION("SPLIT(G1465, "", "")"),44462.0)</f>
        <v>44462</v>
      </c>
      <c r="I1465" s="15">
        <f>IFERROR(__xludf.DUMMYFUNCTION("""COMPUTED_VALUE"""),0.7500347222222222)</f>
        <v>0.7500347222</v>
      </c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</row>
    <row r="1466">
      <c r="A1466" s="12">
        <v>1.41</v>
      </c>
      <c r="B1466" s="12">
        <v>228.6</v>
      </c>
      <c r="C1466" s="12">
        <v>192.1</v>
      </c>
      <c r="D1466" s="12">
        <v>4.67</v>
      </c>
      <c r="E1466" s="12">
        <v>0.6</v>
      </c>
      <c r="F1466" s="12">
        <v>50.0</v>
      </c>
      <c r="G1466" s="13">
        <v>44462.7501372338</v>
      </c>
      <c r="H1466" s="14">
        <f>IFERROR(__xludf.DUMMYFUNCTION("SPLIT(G1466, "", "")"),44462.0)</f>
        <v>44462</v>
      </c>
      <c r="I1466" s="15">
        <f>IFERROR(__xludf.DUMMYFUNCTION("""COMPUTED_VALUE"""),0.7501388888888889)</f>
        <v>0.7501388889</v>
      </c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</row>
    <row r="1467">
      <c r="A1467" s="12">
        <v>1.39</v>
      </c>
      <c r="B1467" s="12">
        <v>229.1</v>
      </c>
      <c r="C1467" s="12">
        <v>190.7</v>
      </c>
      <c r="D1467" s="12">
        <v>4.67</v>
      </c>
      <c r="E1467" s="12">
        <v>0.6</v>
      </c>
      <c r="F1467" s="12">
        <v>49.9</v>
      </c>
      <c r="G1467" s="13">
        <v>44462.75023695602</v>
      </c>
      <c r="H1467" s="14">
        <f>IFERROR(__xludf.DUMMYFUNCTION("SPLIT(G1467, "", "")"),44462.0)</f>
        <v>44462</v>
      </c>
      <c r="I1467" s="15">
        <f>IFERROR(__xludf.DUMMYFUNCTION("""COMPUTED_VALUE"""),0.7502314814814814)</f>
        <v>0.7502314815</v>
      </c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</row>
    <row r="1468">
      <c r="A1468" s="12">
        <v>1.39</v>
      </c>
      <c r="B1468" s="12">
        <v>228.9</v>
      </c>
      <c r="C1468" s="12">
        <v>189.4</v>
      </c>
      <c r="D1468" s="12">
        <v>4.67</v>
      </c>
      <c r="E1468" s="12">
        <v>0.6</v>
      </c>
      <c r="F1468" s="12">
        <v>49.9</v>
      </c>
      <c r="G1468" s="13">
        <v>44462.750334131946</v>
      </c>
      <c r="H1468" s="14">
        <f>IFERROR(__xludf.DUMMYFUNCTION("SPLIT(G1468, "", "")"),44462.0)</f>
        <v>44462</v>
      </c>
      <c r="I1468" s="15">
        <f>IFERROR(__xludf.DUMMYFUNCTION("""COMPUTED_VALUE"""),0.7503356481481481)</f>
        <v>0.7503356481</v>
      </c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</row>
    <row r="1469">
      <c r="A1469" s="12">
        <v>1.39</v>
      </c>
      <c r="B1469" s="12">
        <v>228.8</v>
      </c>
      <c r="C1469" s="12">
        <v>188.1</v>
      </c>
      <c r="D1469" s="12">
        <v>4.67</v>
      </c>
      <c r="E1469" s="12">
        <v>0.59</v>
      </c>
      <c r="F1469" s="12">
        <v>49.9</v>
      </c>
      <c r="G1469" s="13">
        <v>44462.75043775463</v>
      </c>
      <c r="H1469" s="14">
        <f>IFERROR(__xludf.DUMMYFUNCTION("SPLIT(G1469, "", "")"),44462.0)</f>
        <v>44462</v>
      </c>
      <c r="I1469" s="15">
        <f>IFERROR(__xludf.DUMMYFUNCTION("""COMPUTED_VALUE"""),0.7504398148148148)</f>
        <v>0.7504398148</v>
      </c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</row>
    <row r="1470">
      <c r="A1470" s="12">
        <v>1.38</v>
      </c>
      <c r="B1470" s="12">
        <v>228.4</v>
      </c>
      <c r="C1470" s="12">
        <v>186.5</v>
      </c>
      <c r="D1470" s="12">
        <v>4.67</v>
      </c>
      <c r="E1470" s="12">
        <v>0.59</v>
      </c>
      <c r="F1470" s="12">
        <v>49.9</v>
      </c>
      <c r="G1470" s="13">
        <v>44462.75054716435</v>
      </c>
      <c r="H1470" s="14">
        <f>IFERROR(__xludf.DUMMYFUNCTION("SPLIT(G1470, "", "")"),44462.0)</f>
        <v>44462</v>
      </c>
      <c r="I1470" s="15">
        <f>IFERROR(__xludf.DUMMYFUNCTION("""COMPUTED_VALUE"""),0.7505439814814815)</f>
        <v>0.7505439815</v>
      </c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</row>
    <row r="1471">
      <c r="A1471" s="12">
        <v>1.37</v>
      </c>
      <c r="B1471" s="12">
        <v>228.5</v>
      </c>
      <c r="C1471" s="12">
        <v>185.3</v>
      </c>
      <c r="D1471" s="12">
        <v>4.67</v>
      </c>
      <c r="E1471" s="12">
        <v>0.59</v>
      </c>
      <c r="F1471" s="12">
        <v>49.9</v>
      </c>
      <c r="G1471" s="13">
        <v>44462.75064694445</v>
      </c>
      <c r="H1471" s="14">
        <f>IFERROR(__xludf.DUMMYFUNCTION("SPLIT(G1471, "", "")"),44462.0)</f>
        <v>44462</v>
      </c>
      <c r="I1471" s="15">
        <f>IFERROR(__xludf.DUMMYFUNCTION("""COMPUTED_VALUE"""),0.7506481481481482)</f>
        <v>0.7506481481</v>
      </c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</row>
    <row r="1472">
      <c r="A1472" s="12">
        <v>1.36</v>
      </c>
      <c r="B1472" s="12">
        <v>228.5</v>
      </c>
      <c r="C1472" s="12">
        <v>183.7</v>
      </c>
      <c r="D1472" s="12">
        <v>4.67</v>
      </c>
      <c r="E1472" s="12">
        <v>0.59</v>
      </c>
      <c r="F1472" s="12">
        <v>49.9</v>
      </c>
      <c r="G1472" s="13">
        <v>44462.75074905093</v>
      </c>
      <c r="H1472" s="14">
        <f>IFERROR(__xludf.DUMMYFUNCTION("SPLIT(G1472, "", "")"),44462.0)</f>
        <v>44462</v>
      </c>
      <c r="I1472" s="15">
        <f>IFERROR(__xludf.DUMMYFUNCTION("""COMPUTED_VALUE"""),0.7507523148148149)</f>
        <v>0.7507523148</v>
      </c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</row>
    <row r="1473">
      <c r="A1473" s="12">
        <v>1.35</v>
      </c>
      <c r="B1473" s="12">
        <v>228.4</v>
      </c>
      <c r="C1473" s="12">
        <v>182.5</v>
      </c>
      <c r="D1473" s="12">
        <v>4.67</v>
      </c>
      <c r="E1473" s="12">
        <v>0.59</v>
      </c>
      <c r="F1473" s="12">
        <v>49.9</v>
      </c>
      <c r="G1473" s="13">
        <v>44462.750849895834</v>
      </c>
      <c r="H1473" s="14">
        <f>IFERROR(__xludf.DUMMYFUNCTION("SPLIT(G1473, "", "")"),44462.0)</f>
        <v>44462</v>
      </c>
      <c r="I1473" s="15">
        <f>IFERROR(__xludf.DUMMYFUNCTION("""COMPUTED_VALUE"""),0.7508449074074074)</f>
        <v>0.7508449074</v>
      </c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</row>
    <row r="1474">
      <c r="A1474" s="12">
        <v>1.35</v>
      </c>
      <c r="B1474" s="12">
        <v>228.1</v>
      </c>
      <c r="C1474" s="12">
        <v>181.4</v>
      </c>
      <c r="D1474" s="12">
        <v>4.67</v>
      </c>
      <c r="E1474" s="12">
        <v>0.59</v>
      </c>
      <c r="F1474" s="12">
        <v>50.0</v>
      </c>
      <c r="G1474" s="13">
        <v>44462.75095018519</v>
      </c>
      <c r="H1474" s="14">
        <f>IFERROR(__xludf.DUMMYFUNCTION("SPLIT(G1474, "", "")"),44462.0)</f>
        <v>44462</v>
      </c>
      <c r="I1474" s="15">
        <f>IFERROR(__xludf.DUMMYFUNCTION("""COMPUTED_VALUE"""),0.7509490740740741)</f>
        <v>0.7509490741</v>
      </c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</row>
    <row r="1475">
      <c r="A1475" s="12">
        <v>1.33</v>
      </c>
      <c r="B1475" s="12">
        <v>228.5</v>
      </c>
      <c r="C1475" s="12">
        <v>179.9</v>
      </c>
      <c r="D1475" s="12">
        <v>4.67</v>
      </c>
      <c r="E1475" s="12">
        <v>0.59</v>
      </c>
      <c r="F1475" s="12">
        <v>49.9</v>
      </c>
      <c r="G1475" s="13">
        <v>44462.75105074074</v>
      </c>
      <c r="H1475" s="14">
        <f>IFERROR(__xludf.DUMMYFUNCTION("SPLIT(G1475, "", "")"),44462.0)</f>
        <v>44462</v>
      </c>
      <c r="I1475" s="15">
        <f>IFERROR(__xludf.DUMMYFUNCTION("""COMPUTED_VALUE"""),0.7510532407407408)</f>
        <v>0.7510532407</v>
      </c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</row>
    <row r="1476">
      <c r="A1476" s="12">
        <v>1.32</v>
      </c>
      <c r="B1476" s="12">
        <v>228.4</v>
      </c>
      <c r="C1476" s="12">
        <v>178.7</v>
      </c>
      <c r="D1476" s="12">
        <v>4.67</v>
      </c>
      <c r="E1476" s="12">
        <v>0.59</v>
      </c>
      <c r="F1476" s="12">
        <v>49.9</v>
      </c>
      <c r="G1476" s="13">
        <v>44462.751159872685</v>
      </c>
      <c r="H1476" s="14">
        <f>IFERROR(__xludf.DUMMYFUNCTION("SPLIT(G1476, "", "")"),44462.0)</f>
        <v>44462</v>
      </c>
      <c r="I1476" s="15">
        <f>IFERROR(__xludf.DUMMYFUNCTION("""COMPUTED_VALUE"""),0.7511574074074074)</f>
        <v>0.7511574074</v>
      </c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</row>
    <row r="1477">
      <c r="A1477" s="12">
        <v>1.32</v>
      </c>
      <c r="B1477" s="12">
        <v>228.4</v>
      </c>
      <c r="C1477" s="12">
        <v>177.3</v>
      </c>
      <c r="D1477" s="12">
        <v>4.67</v>
      </c>
      <c r="E1477" s="12">
        <v>0.59</v>
      </c>
      <c r="F1477" s="12">
        <v>50.0</v>
      </c>
      <c r="G1477" s="13">
        <v>44462.75126636574</v>
      </c>
      <c r="H1477" s="14">
        <f>IFERROR(__xludf.DUMMYFUNCTION("SPLIT(G1477, "", "")"),44462.0)</f>
        <v>44462</v>
      </c>
      <c r="I1477" s="15">
        <f>IFERROR(__xludf.DUMMYFUNCTION("""COMPUTED_VALUE"""),0.7512615740740741)</f>
        <v>0.7512615741</v>
      </c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</row>
    <row r="1478">
      <c r="A1478" s="12">
        <v>1.31</v>
      </c>
      <c r="B1478" s="12">
        <v>228.4</v>
      </c>
      <c r="C1478" s="12">
        <v>176.1</v>
      </c>
      <c r="D1478" s="12">
        <v>4.67</v>
      </c>
      <c r="E1478" s="12">
        <v>0.59</v>
      </c>
      <c r="F1478" s="12">
        <v>50.0</v>
      </c>
      <c r="G1478" s="13">
        <v>44462.7513708912</v>
      </c>
      <c r="H1478" s="14">
        <f>IFERROR(__xludf.DUMMYFUNCTION("SPLIT(G1478, "", "")"),44462.0)</f>
        <v>44462</v>
      </c>
      <c r="I1478" s="15">
        <f>IFERROR(__xludf.DUMMYFUNCTION("""COMPUTED_VALUE"""),0.7513657407407407)</f>
        <v>0.7513657407</v>
      </c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</row>
    <row r="1479">
      <c r="A1479" s="12">
        <v>1.3</v>
      </c>
      <c r="B1479" s="12">
        <v>228.5</v>
      </c>
      <c r="C1479" s="12">
        <v>174.6</v>
      </c>
      <c r="D1479" s="12">
        <v>4.67</v>
      </c>
      <c r="E1479" s="12">
        <v>0.59</v>
      </c>
      <c r="F1479" s="12">
        <v>50.0</v>
      </c>
      <c r="G1479" s="13">
        <v>44462.751478356484</v>
      </c>
      <c r="H1479" s="14">
        <f>IFERROR(__xludf.DUMMYFUNCTION("SPLIT(G1479, "", "")"),44462.0)</f>
        <v>44462</v>
      </c>
      <c r="I1479" s="15">
        <f>IFERROR(__xludf.DUMMYFUNCTION("""COMPUTED_VALUE"""),0.7514814814814815)</f>
        <v>0.7514814815</v>
      </c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</row>
    <row r="1480">
      <c r="A1480" s="12">
        <v>1.29</v>
      </c>
      <c r="B1480" s="12">
        <v>228.6</v>
      </c>
      <c r="C1480" s="12">
        <v>173.4</v>
      </c>
      <c r="D1480" s="12">
        <v>4.68</v>
      </c>
      <c r="E1480" s="12">
        <v>0.59</v>
      </c>
      <c r="F1480" s="12">
        <v>50.0</v>
      </c>
      <c r="G1480" s="13">
        <v>44462.75157444444</v>
      </c>
      <c r="H1480" s="14">
        <f>IFERROR(__xludf.DUMMYFUNCTION("SPLIT(G1480, "", "")"),44462.0)</f>
        <v>44462</v>
      </c>
      <c r="I1480" s="15">
        <f>IFERROR(__xludf.DUMMYFUNCTION("""COMPUTED_VALUE"""),0.7515740740740741)</f>
        <v>0.7515740741</v>
      </c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</row>
    <row r="1481">
      <c r="A1481" s="12">
        <v>1.28</v>
      </c>
      <c r="B1481" s="12">
        <v>228.6</v>
      </c>
      <c r="C1481" s="12">
        <v>172.3</v>
      </c>
      <c r="D1481" s="12">
        <v>4.68</v>
      </c>
      <c r="E1481" s="12">
        <v>0.59</v>
      </c>
      <c r="F1481" s="12">
        <v>50.0</v>
      </c>
      <c r="G1481" s="13">
        <v>44462.75167516204</v>
      </c>
      <c r="H1481" s="14">
        <f>IFERROR(__xludf.DUMMYFUNCTION("SPLIT(G1481, "", "")"),44462.0)</f>
        <v>44462</v>
      </c>
      <c r="I1481" s="15">
        <f>IFERROR(__xludf.DUMMYFUNCTION("""COMPUTED_VALUE"""),0.7516782407407407)</f>
        <v>0.7516782407</v>
      </c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</row>
    <row r="1482">
      <c r="A1482" s="12">
        <v>1.27</v>
      </c>
      <c r="B1482" s="12">
        <v>228.7</v>
      </c>
      <c r="C1482" s="12">
        <v>170.9</v>
      </c>
      <c r="D1482" s="12">
        <v>4.68</v>
      </c>
      <c r="E1482" s="12">
        <v>0.59</v>
      </c>
      <c r="F1482" s="12">
        <v>50.0</v>
      </c>
      <c r="G1482" s="13">
        <v>44462.75177994213</v>
      </c>
      <c r="H1482" s="14">
        <f>IFERROR(__xludf.DUMMYFUNCTION("SPLIT(G1482, "", "")"),44462.0)</f>
        <v>44462</v>
      </c>
      <c r="I1482" s="15">
        <f>IFERROR(__xludf.DUMMYFUNCTION("""COMPUTED_VALUE"""),0.7517824074074074)</f>
        <v>0.7517824074</v>
      </c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</row>
    <row r="1483">
      <c r="A1483" s="12">
        <v>1.26</v>
      </c>
      <c r="B1483" s="12">
        <v>228.7</v>
      </c>
      <c r="C1483" s="12">
        <v>169.7</v>
      </c>
      <c r="D1483" s="12">
        <v>4.68</v>
      </c>
      <c r="E1483" s="12">
        <v>0.59</v>
      </c>
      <c r="F1483" s="12">
        <v>50.0</v>
      </c>
      <c r="G1483" s="13">
        <v>44462.751886620375</v>
      </c>
      <c r="H1483" s="14">
        <f>IFERROR(__xludf.DUMMYFUNCTION("SPLIT(G1483, "", "")"),44462.0)</f>
        <v>44462</v>
      </c>
      <c r="I1483" s="15">
        <f>IFERROR(__xludf.DUMMYFUNCTION("""COMPUTED_VALUE"""),0.7518865740740741)</f>
        <v>0.7518865741</v>
      </c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</row>
    <row r="1484">
      <c r="A1484" s="12">
        <v>1.25</v>
      </c>
      <c r="B1484" s="12">
        <v>228.6</v>
      </c>
      <c r="C1484" s="12">
        <v>168.2</v>
      </c>
      <c r="D1484" s="12">
        <v>4.68</v>
      </c>
      <c r="E1484" s="12">
        <v>0.59</v>
      </c>
      <c r="F1484" s="12">
        <v>50.0</v>
      </c>
      <c r="G1484" s="13">
        <v>44462.7519928125</v>
      </c>
      <c r="H1484" s="14">
        <f>IFERROR(__xludf.DUMMYFUNCTION("SPLIT(G1484, "", "")"),44462.0)</f>
        <v>44462</v>
      </c>
      <c r="I1484" s="15">
        <f>IFERROR(__xludf.DUMMYFUNCTION("""COMPUTED_VALUE"""),0.7519907407407408)</f>
        <v>0.7519907407</v>
      </c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</row>
    <row r="1485">
      <c r="A1485" s="12">
        <v>1.25</v>
      </c>
      <c r="B1485" s="12">
        <v>227.5</v>
      </c>
      <c r="C1485" s="12">
        <v>166.9</v>
      </c>
      <c r="D1485" s="12">
        <v>4.68</v>
      </c>
      <c r="E1485" s="12">
        <v>0.59</v>
      </c>
      <c r="F1485" s="12">
        <v>50.0</v>
      </c>
      <c r="G1485" s="13">
        <v>44462.75209497685</v>
      </c>
      <c r="H1485" s="14">
        <f>IFERROR(__xludf.DUMMYFUNCTION("SPLIT(G1485, "", "")"),44462.0)</f>
        <v>44462</v>
      </c>
      <c r="I1485" s="15">
        <f>IFERROR(__xludf.DUMMYFUNCTION("""COMPUTED_VALUE"""),0.7520949074074074)</f>
        <v>0.7520949074</v>
      </c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</row>
    <row r="1486">
      <c r="A1486" s="12">
        <v>1.24</v>
      </c>
      <c r="B1486" s="12">
        <v>227.6</v>
      </c>
      <c r="C1486" s="12">
        <v>165.6</v>
      </c>
      <c r="D1486" s="12">
        <v>4.68</v>
      </c>
      <c r="E1486" s="12">
        <v>0.59</v>
      </c>
      <c r="F1486" s="12">
        <v>49.9</v>
      </c>
      <c r="G1486" s="13">
        <v>44462.75219649306</v>
      </c>
      <c r="H1486" s="14">
        <f>IFERROR(__xludf.DUMMYFUNCTION("SPLIT(G1486, "", "")"),44462.0)</f>
        <v>44462</v>
      </c>
      <c r="I1486" s="15">
        <f>IFERROR(__xludf.DUMMYFUNCTION("""COMPUTED_VALUE"""),0.752199074074074)</f>
        <v>0.7521990741</v>
      </c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</row>
    <row r="1487">
      <c r="A1487" s="12">
        <v>1.23</v>
      </c>
      <c r="B1487" s="12">
        <v>227.7</v>
      </c>
      <c r="C1487" s="12">
        <v>164.3</v>
      </c>
      <c r="D1487" s="12">
        <v>4.68</v>
      </c>
      <c r="E1487" s="12">
        <v>0.59</v>
      </c>
      <c r="F1487" s="12">
        <v>49.9</v>
      </c>
      <c r="G1487" s="13">
        <v>44462.752297071755</v>
      </c>
      <c r="H1487" s="14">
        <f>IFERROR(__xludf.DUMMYFUNCTION("SPLIT(G1487, "", "")"),44462.0)</f>
        <v>44462</v>
      </c>
      <c r="I1487" s="15">
        <f>IFERROR(__xludf.DUMMYFUNCTION("""COMPUTED_VALUE"""),0.7522916666666667)</f>
        <v>0.7522916667</v>
      </c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</row>
    <row r="1488">
      <c r="A1488" s="12">
        <v>1.22</v>
      </c>
      <c r="B1488" s="12">
        <v>227.8</v>
      </c>
      <c r="C1488" s="12">
        <v>163.2</v>
      </c>
      <c r="D1488" s="12">
        <v>4.68</v>
      </c>
      <c r="E1488" s="12">
        <v>0.59</v>
      </c>
      <c r="F1488" s="12">
        <v>49.9</v>
      </c>
      <c r="G1488" s="13">
        <v>44462.752397557866</v>
      </c>
      <c r="H1488" s="14">
        <f>IFERROR(__xludf.DUMMYFUNCTION("SPLIT(G1488, "", "")"),44462.0)</f>
        <v>44462</v>
      </c>
      <c r="I1488" s="15">
        <f>IFERROR(__xludf.DUMMYFUNCTION("""COMPUTED_VALUE"""),0.7523958333333334)</f>
        <v>0.7523958333</v>
      </c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</row>
    <row r="1489">
      <c r="A1489" s="12">
        <v>1.21</v>
      </c>
      <c r="B1489" s="12">
        <v>227.7</v>
      </c>
      <c r="C1489" s="12">
        <v>161.8</v>
      </c>
      <c r="D1489" s="12">
        <v>4.68</v>
      </c>
      <c r="E1489" s="12">
        <v>0.59</v>
      </c>
      <c r="F1489" s="12">
        <v>49.9</v>
      </c>
      <c r="G1489" s="13">
        <v>44462.752497430556</v>
      </c>
      <c r="H1489" s="14">
        <f>IFERROR(__xludf.DUMMYFUNCTION("SPLIT(G1489, "", "")"),44462.0)</f>
        <v>44462</v>
      </c>
      <c r="I1489" s="15">
        <f>IFERROR(__xludf.DUMMYFUNCTION("""COMPUTED_VALUE"""),0.7525)</f>
        <v>0.7525</v>
      </c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</row>
    <row r="1490">
      <c r="A1490" s="12">
        <v>1.21</v>
      </c>
      <c r="B1490" s="12">
        <v>227.8</v>
      </c>
      <c r="C1490" s="12">
        <v>160.8</v>
      </c>
      <c r="D1490" s="12">
        <v>4.68</v>
      </c>
      <c r="E1490" s="12">
        <v>0.59</v>
      </c>
      <c r="F1490" s="12">
        <v>49.9</v>
      </c>
      <c r="G1490" s="13">
        <v>44462.752599907406</v>
      </c>
      <c r="H1490" s="14">
        <f>IFERROR(__xludf.DUMMYFUNCTION("SPLIT(G1490, "", "")"),44462.0)</f>
        <v>44462</v>
      </c>
      <c r="I1490" s="15">
        <f>IFERROR(__xludf.DUMMYFUNCTION("""COMPUTED_VALUE"""),0.7526041666666666)</f>
        <v>0.7526041667</v>
      </c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</row>
    <row r="1491">
      <c r="A1491" s="12">
        <v>1.2</v>
      </c>
      <c r="B1491" s="12">
        <v>227.7</v>
      </c>
      <c r="C1491" s="12">
        <v>159.1</v>
      </c>
      <c r="D1491" s="12">
        <v>4.68</v>
      </c>
      <c r="E1491" s="12">
        <v>0.58</v>
      </c>
      <c r="F1491" s="12">
        <v>49.9</v>
      </c>
      <c r="G1491" s="13">
        <v>44462.75274034722</v>
      </c>
      <c r="H1491" s="14">
        <f>IFERROR(__xludf.DUMMYFUNCTION("SPLIT(G1491, "", "")"),44462.0)</f>
        <v>44462</v>
      </c>
      <c r="I1491" s="15">
        <f>IFERROR(__xludf.DUMMYFUNCTION("""COMPUTED_VALUE"""),0.7527430555555555)</f>
        <v>0.7527430556</v>
      </c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</row>
    <row r="1492">
      <c r="A1492" s="12">
        <v>1.19</v>
      </c>
      <c r="B1492" s="12">
        <v>227.7</v>
      </c>
      <c r="C1492" s="12">
        <v>157.9</v>
      </c>
      <c r="D1492" s="12">
        <v>4.68</v>
      </c>
      <c r="E1492" s="12">
        <v>0.58</v>
      </c>
      <c r="F1492" s="12">
        <v>49.9</v>
      </c>
      <c r="G1492" s="13">
        <v>44462.752846435185</v>
      </c>
      <c r="H1492" s="14">
        <f>IFERROR(__xludf.DUMMYFUNCTION("SPLIT(G1492, "", "")"),44462.0)</f>
        <v>44462</v>
      </c>
      <c r="I1492" s="15">
        <f>IFERROR(__xludf.DUMMYFUNCTION("""COMPUTED_VALUE"""),0.7528472222222222)</f>
        <v>0.7528472222</v>
      </c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</row>
    <row r="1493">
      <c r="A1493" s="12">
        <v>1.18</v>
      </c>
      <c r="B1493" s="12">
        <v>227.6</v>
      </c>
      <c r="C1493" s="12">
        <v>156.7</v>
      </c>
      <c r="D1493" s="12">
        <v>4.68</v>
      </c>
      <c r="E1493" s="12">
        <v>0.58</v>
      </c>
      <c r="F1493" s="12">
        <v>49.9</v>
      </c>
      <c r="G1493" s="13">
        <v>44462.75295958333</v>
      </c>
      <c r="H1493" s="14">
        <f>IFERROR(__xludf.DUMMYFUNCTION("SPLIT(G1493, "", "")"),44462.0)</f>
        <v>44462</v>
      </c>
      <c r="I1493" s="15">
        <f>IFERROR(__xludf.DUMMYFUNCTION("""COMPUTED_VALUE"""),0.752962962962963)</f>
        <v>0.752962963</v>
      </c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</row>
    <row r="1494">
      <c r="A1494" s="12">
        <v>1.16</v>
      </c>
      <c r="B1494" s="12">
        <v>227.4</v>
      </c>
      <c r="C1494" s="12">
        <v>154.6</v>
      </c>
      <c r="D1494" s="12">
        <v>4.68</v>
      </c>
      <c r="E1494" s="12">
        <v>0.58</v>
      </c>
      <c r="F1494" s="12">
        <v>49.9</v>
      </c>
      <c r="G1494" s="13">
        <v>44462.753091226856</v>
      </c>
      <c r="H1494" s="14">
        <f>IFERROR(__xludf.DUMMYFUNCTION("SPLIT(G1494, "", "")"),44462.0)</f>
        <v>44462</v>
      </c>
      <c r="I1494" s="15">
        <f>IFERROR(__xludf.DUMMYFUNCTION("""COMPUTED_VALUE"""),0.7530902777777778)</f>
        <v>0.7530902778</v>
      </c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</row>
    <row r="1495">
      <c r="A1495" s="12">
        <v>1.16</v>
      </c>
      <c r="B1495" s="12">
        <v>227.4</v>
      </c>
      <c r="C1495" s="12">
        <v>153.5</v>
      </c>
      <c r="D1495" s="12">
        <v>4.68</v>
      </c>
      <c r="E1495" s="12">
        <v>0.58</v>
      </c>
      <c r="F1495" s="12">
        <v>49.9</v>
      </c>
      <c r="G1495" s="13">
        <v>44462.753202210646</v>
      </c>
      <c r="H1495" s="14">
        <f>IFERROR(__xludf.DUMMYFUNCTION("SPLIT(G1495, "", "")"),44462.0)</f>
        <v>44462</v>
      </c>
      <c r="I1495" s="15">
        <f>IFERROR(__xludf.DUMMYFUNCTION("""COMPUTED_VALUE"""),0.7532060185185185)</f>
        <v>0.7532060185</v>
      </c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</row>
    <row r="1496">
      <c r="A1496" s="12">
        <v>1.15</v>
      </c>
      <c r="B1496" s="12">
        <v>227.4</v>
      </c>
      <c r="C1496" s="12">
        <v>152.3</v>
      </c>
      <c r="D1496" s="12">
        <v>4.68</v>
      </c>
      <c r="E1496" s="12">
        <v>0.58</v>
      </c>
      <c r="F1496" s="12">
        <v>49.9</v>
      </c>
      <c r="G1496" s="13">
        <v>44462.75331479167</v>
      </c>
      <c r="H1496" s="14">
        <f>IFERROR(__xludf.DUMMYFUNCTION("SPLIT(G1496, "", "")"),44462.0)</f>
        <v>44462</v>
      </c>
      <c r="I1496" s="15">
        <f>IFERROR(__xludf.DUMMYFUNCTION("""COMPUTED_VALUE"""),0.7533101851851852)</f>
        <v>0.7533101852</v>
      </c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</row>
    <row r="1497">
      <c r="A1497" s="12">
        <v>1.13</v>
      </c>
      <c r="B1497" s="12">
        <v>227.6</v>
      </c>
      <c r="C1497" s="12">
        <v>150.8</v>
      </c>
      <c r="D1497" s="12">
        <v>4.68</v>
      </c>
      <c r="E1497" s="12">
        <v>0.58</v>
      </c>
      <c r="F1497" s="12">
        <v>49.9</v>
      </c>
      <c r="G1497" s="13">
        <v>44462.75341925926</v>
      </c>
      <c r="H1497" s="14">
        <f>IFERROR(__xludf.DUMMYFUNCTION("SPLIT(G1497, "", "")"),44462.0)</f>
        <v>44462</v>
      </c>
      <c r="I1497" s="15">
        <f>IFERROR(__xludf.DUMMYFUNCTION("""COMPUTED_VALUE"""),0.7534143518518519)</f>
        <v>0.7534143519</v>
      </c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</row>
    <row r="1498">
      <c r="A1498" s="12">
        <v>1.13</v>
      </c>
      <c r="B1498" s="12">
        <v>227.8</v>
      </c>
      <c r="C1498" s="12">
        <v>149.6</v>
      </c>
      <c r="D1498" s="12">
        <v>4.68</v>
      </c>
      <c r="E1498" s="12">
        <v>0.58</v>
      </c>
      <c r="F1498" s="12">
        <v>49.9</v>
      </c>
      <c r="G1498" s="13">
        <v>44462.75351877315</v>
      </c>
      <c r="H1498" s="14">
        <f>IFERROR(__xludf.DUMMYFUNCTION("SPLIT(G1498, "", "")"),44462.0)</f>
        <v>44462</v>
      </c>
      <c r="I1498" s="15">
        <f>IFERROR(__xludf.DUMMYFUNCTION("""COMPUTED_VALUE"""),0.7535185185185185)</f>
        <v>0.7535185185</v>
      </c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</row>
    <row r="1499">
      <c r="A1499" s="12">
        <v>1.12</v>
      </c>
      <c r="B1499" s="12">
        <v>227.7</v>
      </c>
      <c r="C1499" s="12">
        <v>148.6</v>
      </c>
      <c r="D1499" s="12">
        <v>4.68</v>
      </c>
      <c r="E1499" s="12">
        <v>0.58</v>
      </c>
      <c r="F1499" s="12">
        <v>49.9</v>
      </c>
      <c r="G1499" s="13">
        <v>44462.75362041667</v>
      </c>
      <c r="H1499" s="14">
        <f>IFERROR(__xludf.DUMMYFUNCTION("SPLIT(G1499, "", "")"),44462.0)</f>
        <v>44462</v>
      </c>
      <c r="I1499" s="15">
        <f>IFERROR(__xludf.DUMMYFUNCTION("""COMPUTED_VALUE"""),0.7536226851851852)</f>
        <v>0.7536226852</v>
      </c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</row>
    <row r="1500">
      <c r="A1500" s="12">
        <v>1.11</v>
      </c>
      <c r="B1500" s="12">
        <v>227.7</v>
      </c>
      <c r="C1500" s="12">
        <v>147.1</v>
      </c>
      <c r="D1500" s="12">
        <v>4.68</v>
      </c>
      <c r="E1500" s="12">
        <v>0.58</v>
      </c>
      <c r="F1500" s="12">
        <v>50.0</v>
      </c>
      <c r="G1500" s="13">
        <v>44462.75373729167</v>
      </c>
      <c r="H1500" s="14">
        <f>IFERROR(__xludf.DUMMYFUNCTION("SPLIT(G1500, "", "")"),44462.0)</f>
        <v>44462</v>
      </c>
      <c r="I1500" s="15">
        <f>IFERROR(__xludf.DUMMYFUNCTION("""COMPUTED_VALUE"""),0.7537384259259259)</f>
        <v>0.7537384259</v>
      </c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</row>
    <row r="1501">
      <c r="A1501" s="12">
        <v>1.11</v>
      </c>
      <c r="B1501" s="12">
        <v>227.8</v>
      </c>
      <c r="C1501" s="12">
        <v>145.9</v>
      </c>
      <c r="D1501" s="12">
        <v>4.68</v>
      </c>
      <c r="E1501" s="12">
        <v>0.58</v>
      </c>
      <c r="F1501" s="12">
        <v>50.0</v>
      </c>
      <c r="G1501" s="13">
        <v>44462.7538359375</v>
      </c>
      <c r="H1501" s="14">
        <f>IFERROR(__xludf.DUMMYFUNCTION("SPLIT(G1501, "", "")"),44462.0)</f>
        <v>44462</v>
      </c>
      <c r="I1501" s="15">
        <f>IFERROR(__xludf.DUMMYFUNCTION("""COMPUTED_VALUE"""),0.7538310185185185)</f>
        <v>0.7538310185</v>
      </c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</row>
    <row r="1502">
      <c r="A1502" s="12">
        <v>1.09</v>
      </c>
      <c r="B1502" s="12">
        <v>227.6</v>
      </c>
      <c r="C1502" s="12">
        <v>144.3</v>
      </c>
      <c r="D1502" s="12">
        <v>4.68</v>
      </c>
      <c r="E1502" s="12">
        <v>0.58</v>
      </c>
      <c r="F1502" s="12">
        <v>49.9</v>
      </c>
      <c r="G1502" s="13">
        <v>44462.75397679398</v>
      </c>
      <c r="H1502" s="14">
        <f>IFERROR(__xludf.DUMMYFUNCTION("SPLIT(G1502, "", "")"),44462.0)</f>
        <v>44462</v>
      </c>
      <c r="I1502" s="15">
        <f>IFERROR(__xludf.DUMMYFUNCTION("""COMPUTED_VALUE"""),0.7539814814814815)</f>
        <v>0.7539814815</v>
      </c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</row>
    <row r="1503">
      <c r="A1503" s="12">
        <v>1.08</v>
      </c>
      <c r="B1503" s="12">
        <v>227.8</v>
      </c>
      <c r="C1503" s="12">
        <v>143.2</v>
      </c>
      <c r="D1503" s="12">
        <v>4.68</v>
      </c>
      <c r="E1503" s="12">
        <v>0.58</v>
      </c>
      <c r="F1503" s="12">
        <v>49.9</v>
      </c>
      <c r="G1503" s="13">
        <v>44462.75407717592</v>
      </c>
      <c r="H1503" s="14">
        <f>IFERROR(__xludf.DUMMYFUNCTION("SPLIT(G1503, "", "")"),44462.0)</f>
        <v>44462</v>
      </c>
      <c r="I1503" s="15">
        <f>IFERROR(__xludf.DUMMYFUNCTION("""COMPUTED_VALUE"""),0.7540740740740741)</f>
        <v>0.7540740741</v>
      </c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</row>
    <row r="1504">
      <c r="A1504" s="12">
        <v>1.08</v>
      </c>
      <c r="B1504" s="12">
        <v>227.6</v>
      </c>
      <c r="C1504" s="12">
        <v>142.0</v>
      </c>
      <c r="D1504" s="12">
        <v>4.68</v>
      </c>
      <c r="E1504" s="12">
        <v>0.58</v>
      </c>
      <c r="F1504" s="12">
        <v>49.9</v>
      </c>
      <c r="G1504" s="13">
        <v>44462.75418253472</v>
      </c>
      <c r="H1504" s="14">
        <f>IFERROR(__xludf.DUMMYFUNCTION("SPLIT(G1504, "", "")"),44462.0)</f>
        <v>44462</v>
      </c>
      <c r="I1504" s="15">
        <f>IFERROR(__xludf.DUMMYFUNCTION("""COMPUTED_VALUE"""),0.7541782407407407)</f>
        <v>0.7541782407</v>
      </c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</row>
    <row r="1505">
      <c r="A1505" s="12">
        <v>1.07</v>
      </c>
      <c r="B1505" s="12">
        <v>227.6</v>
      </c>
      <c r="C1505" s="12">
        <v>140.7</v>
      </c>
      <c r="D1505" s="12">
        <v>4.68</v>
      </c>
      <c r="E1505" s="12">
        <v>0.58</v>
      </c>
      <c r="F1505" s="12">
        <v>49.9</v>
      </c>
      <c r="G1505" s="13">
        <v>44462.75428405093</v>
      </c>
      <c r="H1505" s="14">
        <f>IFERROR(__xludf.DUMMYFUNCTION("SPLIT(G1505, "", "")"),44462.0)</f>
        <v>44462</v>
      </c>
      <c r="I1505" s="15">
        <f>IFERROR(__xludf.DUMMYFUNCTION("""COMPUTED_VALUE"""),0.7542824074074074)</f>
        <v>0.7542824074</v>
      </c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</row>
    <row r="1506">
      <c r="A1506" s="12">
        <v>1.06</v>
      </c>
      <c r="B1506" s="12">
        <v>227.4</v>
      </c>
      <c r="C1506" s="12">
        <v>139.4</v>
      </c>
      <c r="D1506" s="12">
        <v>4.68</v>
      </c>
      <c r="E1506" s="12">
        <v>0.58</v>
      </c>
      <c r="F1506" s="12">
        <v>50.0</v>
      </c>
      <c r="G1506" s="13">
        <v>44462.75438549768</v>
      </c>
      <c r="H1506" s="14">
        <f>IFERROR(__xludf.DUMMYFUNCTION("SPLIT(G1506, "", "")"),44462.0)</f>
        <v>44462</v>
      </c>
      <c r="I1506" s="15">
        <f>IFERROR(__xludf.DUMMYFUNCTION("""COMPUTED_VALUE"""),0.7543865740740741)</f>
        <v>0.7543865741</v>
      </c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</row>
    <row r="1507">
      <c r="A1507" s="12">
        <v>1.05</v>
      </c>
      <c r="B1507" s="12">
        <v>227.5</v>
      </c>
      <c r="C1507" s="12">
        <v>138.2</v>
      </c>
      <c r="D1507" s="12">
        <v>4.69</v>
      </c>
      <c r="E1507" s="12">
        <v>0.58</v>
      </c>
      <c r="F1507" s="12">
        <v>49.9</v>
      </c>
      <c r="G1507" s="13">
        <v>44462.75448422454</v>
      </c>
      <c r="H1507" s="14">
        <f>IFERROR(__xludf.DUMMYFUNCTION("SPLIT(G1507, "", "")"),44462.0)</f>
        <v>44462</v>
      </c>
      <c r="I1507" s="15">
        <f>IFERROR(__xludf.DUMMYFUNCTION("""COMPUTED_VALUE"""),0.7544791666666667)</f>
        <v>0.7544791667</v>
      </c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</row>
    <row r="1508">
      <c r="A1508" s="12">
        <v>1.05</v>
      </c>
      <c r="B1508" s="12">
        <v>227.6</v>
      </c>
      <c r="C1508" s="12">
        <v>137.1</v>
      </c>
      <c r="D1508" s="12">
        <v>4.69</v>
      </c>
      <c r="E1508" s="12">
        <v>0.57</v>
      </c>
      <c r="F1508" s="12">
        <v>50.0</v>
      </c>
      <c r="G1508" s="13">
        <v>44462.75458976852</v>
      </c>
      <c r="H1508" s="14">
        <f>IFERROR(__xludf.DUMMYFUNCTION("SPLIT(G1508, "", "")"),44462.0)</f>
        <v>44462</v>
      </c>
      <c r="I1508" s="15">
        <f>IFERROR(__xludf.DUMMYFUNCTION("""COMPUTED_VALUE"""),0.7545949074074074)</f>
        <v>0.7545949074</v>
      </c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</row>
    <row r="1509">
      <c r="A1509" s="12">
        <v>1.04</v>
      </c>
      <c r="B1509" s="12">
        <v>227.5</v>
      </c>
      <c r="C1509" s="12">
        <v>135.9</v>
      </c>
      <c r="D1509" s="12">
        <v>4.69</v>
      </c>
      <c r="E1509" s="12">
        <v>0.58</v>
      </c>
      <c r="F1509" s="12">
        <v>49.9</v>
      </c>
      <c r="G1509" s="13">
        <v>44462.75469217593</v>
      </c>
      <c r="H1509" s="14">
        <f>IFERROR(__xludf.DUMMYFUNCTION("SPLIT(G1509, "", "")"),44462.0)</f>
        <v>44462</v>
      </c>
      <c r="I1509" s="15">
        <f>IFERROR(__xludf.DUMMYFUNCTION("""COMPUTED_VALUE"""),0.7546875)</f>
        <v>0.7546875</v>
      </c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</row>
    <row r="1510">
      <c r="A1510" s="12">
        <v>1.03</v>
      </c>
      <c r="B1510" s="12">
        <v>227.4</v>
      </c>
      <c r="C1510" s="12">
        <v>134.7</v>
      </c>
      <c r="D1510" s="12">
        <v>4.69</v>
      </c>
      <c r="E1510" s="12">
        <v>0.58</v>
      </c>
      <c r="F1510" s="12">
        <v>49.9</v>
      </c>
      <c r="G1510" s="13">
        <v>44462.754792430555</v>
      </c>
      <c r="H1510" s="14">
        <f>IFERROR(__xludf.DUMMYFUNCTION("SPLIT(G1510, "", "")"),44462.0)</f>
        <v>44462</v>
      </c>
      <c r="I1510" s="15">
        <f>IFERROR(__xludf.DUMMYFUNCTION("""COMPUTED_VALUE"""),0.7547916666666666)</f>
        <v>0.7547916667</v>
      </c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</row>
    <row r="1511">
      <c r="A1511" s="12">
        <v>1.02</v>
      </c>
      <c r="B1511" s="12">
        <v>227.3</v>
      </c>
      <c r="C1511" s="12">
        <v>133.8</v>
      </c>
      <c r="D1511" s="12">
        <v>4.69</v>
      </c>
      <c r="E1511" s="12">
        <v>0.57</v>
      </c>
      <c r="F1511" s="12">
        <v>49.9</v>
      </c>
      <c r="G1511" s="13">
        <v>44462.754891539356</v>
      </c>
      <c r="H1511" s="14">
        <f>IFERROR(__xludf.DUMMYFUNCTION("SPLIT(G1511, "", "")"),44462.0)</f>
        <v>44462</v>
      </c>
      <c r="I1511" s="15">
        <f>IFERROR(__xludf.DUMMYFUNCTION("""COMPUTED_VALUE"""),0.7548958333333333)</f>
        <v>0.7548958333</v>
      </c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</row>
    <row r="1512">
      <c r="A1512" s="12">
        <v>1.01</v>
      </c>
      <c r="B1512" s="12">
        <v>227.6</v>
      </c>
      <c r="C1512" s="12">
        <v>132.4</v>
      </c>
      <c r="D1512" s="12">
        <v>4.69</v>
      </c>
      <c r="E1512" s="12">
        <v>0.58</v>
      </c>
      <c r="F1512" s="12">
        <v>50.0</v>
      </c>
      <c r="G1512" s="13">
        <v>44462.75500023148</v>
      </c>
      <c r="H1512" s="14">
        <f>IFERROR(__xludf.DUMMYFUNCTION("SPLIT(G1512, "", "")"),44462.0)</f>
        <v>44462</v>
      </c>
      <c r="I1512" s="15">
        <f>IFERROR(__xludf.DUMMYFUNCTION("""COMPUTED_VALUE"""),0.755)</f>
        <v>0.755</v>
      </c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</row>
    <row r="1513">
      <c r="A1513" s="12">
        <v>1.0</v>
      </c>
      <c r="B1513" s="12">
        <v>227.6</v>
      </c>
      <c r="C1513" s="12">
        <v>131.4</v>
      </c>
      <c r="D1513" s="12">
        <v>4.69</v>
      </c>
      <c r="E1513" s="12">
        <v>0.58</v>
      </c>
      <c r="F1513" s="12">
        <v>49.9</v>
      </c>
      <c r="G1513" s="13">
        <v>44462.75510243056</v>
      </c>
      <c r="H1513" s="14">
        <f>IFERROR(__xludf.DUMMYFUNCTION("SPLIT(G1513, "", "")"),44462.0)</f>
        <v>44462</v>
      </c>
      <c r="I1513" s="15">
        <f>IFERROR(__xludf.DUMMYFUNCTION("""COMPUTED_VALUE"""),0.7551041666666667)</f>
        <v>0.7551041667</v>
      </c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</row>
    <row r="1514">
      <c r="A1514" s="12">
        <v>0.99</v>
      </c>
      <c r="B1514" s="12">
        <v>227.6</v>
      </c>
      <c r="C1514" s="12">
        <v>130.3</v>
      </c>
      <c r="D1514" s="12">
        <v>4.69</v>
      </c>
      <c r="E1514" s="12">
        <v>0.58</v>
      </c>
      <c r="F1514" s="12">
        <v>50.0</v>
      </c>
      <c r="G1514" s="13">
        <v>44462.75520640046</v>
      </c>
      <c r="H1514" s="14">
        <f>IFERROR(__xludf.DUMMYFUNCTION("SPLIT(G1514, "", "")"),44462.0)</f>
        <v>44462</v>
      </c>
      <c r="I1514" s="15">
        <f>IFERROR(__xludf.DUMMYFUNCTION("""COMPUTED_VALUE"""),0.7552083333333334)</f>
        <v>0.7552083333</v>
      </c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</row>
    <row r="1515">
      <c r="A1515" s="12">
        <v>0.99</v>
      </c>
      <c r="B1515" s="12">
        <v>227.8</v>
      </c>
      <c r="C1515" s="12">
        <v>129.3</v>
      </c>
      <c r="D1515" s="12">
        <v>4.69</v>
      </c>
      <c r="E1515" s="12">
        <v>0.57</v>
      </c>
      <c r="F1515" s="12">
        <v>50.0</v>
      </c>
      <c r="G1515" s="13">
        <v>44462.75530846065</v>
      </c>
      <c r="H1515" s="14">
        <f>IFERROR(__xludf.DUMMYFUNCTION("SPLIT(G1515, "", "")"),44462.0)</f>
        <v>44462</v>
      </c>
      <c r="I1515" s="15">
        <f>IFERROR(__xludf.DUMMYFUNCTION("""COMPUTED_VALUE"""),0.7553125)</f>
        <v>0.7553125</v>
      </c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</row>
    <row r="1516">
      <c r="A1516" s="12">
        <v>0.98</v>
      </c>
      <c r="B1516" s="12">
        <v>227.8</v>
      </c>
      <c r="C1516" s="12">
        <v>128.2</v>
      </c>
      <c r="D1516" s="12">
        <v>4.69</v>
      </c>
      <c r="E1516" s="12">
        <v>0.57</v>
      </c>
      <c r="F1516" s="12">
        <v>50.0</v>
      </c>
      <c r="G1516" s="13">
        <v>44462.75541252315</v>
      </c>
      <c r="H1516" s="14">
        <f>IFERROR(__xludf.DUMMYFUNCTION("SPLIT(G1516, "", "")"),44462.0)</f>
        <v>44462</v>
      </c>
      <c r="I1516" s="15">
        <f>IFERROR(__xludf.DUMMYFUNCTION("""COMPUTED_VALUE"""),0.7554166666666666)</f>
        <v>0.7554166667</v>
      </c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</row>
    <row r="1517">
      <c r="A1517" s="12">
        <v>0.97</v>
      </c>
      <c r="B1517" s="12">
        <v>227.4</v>
      </c>
      <c r="C1517" s="12">
        <v>126.7</v>
      </c>
      <c r="D1517" s="12">
        <v>4.69</v>
      </c>
      <c r="E1517" s="12">
        <v>0.57</v>
      </c>
      <c r="F1517" s="12">
        <v>50.0</v>
      </c>
      <c r="G1517" s="13">
        <v>44462.7555149074</v>
      </c>
      <c r="H1517" s="14">
        <f>IFERROR(__xludf.DUMMYFUNCTION("SPLIT(G1517, "", "")"),44462.0)</f>
        <v>44462</v>
      </c>
      <c r="I1517" s="15">
        <f>IFERROR(__xludf.DUMMYFUNCTION("""COMPUTED_VALUE"""),0.7555092592592593)</f>
        <v>0.7555092593</v>
      </c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</row>
    <row r="1518">
      <c r="A1518" s="12">
        <v>0.97</v>
      </c>
      <c r="B1518" s="12">
        <v>227.8</v>
      </c>
      <c r="C1518" s="12">
        <v>125.9</v>
      </c>
      <c r="D1518" s="12">
        <v>4.69</v>
      </c>
      <c r="E1518" s="12">
        <v>0.57</v>
      </c>
      <c r="F1518" s="12">
        <v>50.0</v>
      </c>
      <c r="G1518" s="13">
        <v>44462.755614375</v>
      </c>
      <c r="H1518" s="14">
        <f>IFERROR(__xludf.DUMMYFUNCTION("SPLIT(G1518, "", "")"),44462.0)</f>
        <v>44462</v>
      </c>
      <c r="I1518" s="15">
        <f>IFERROR(__xludf.DUMMYFUNCTION("""COMPUTED_VALUE"""),0.755613425925926)</f>
        <v>0.7556134259</v>
      </c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</row>
    <row r="1519">
      <c r="A1519" s="12">
        <v>0.96</v>
      </c>
      <c r="B1519" s="12">
        <v>227.7</v>
      </c>
      <c r="C1519" s="12">
        <v>124.7</v>
      </c>
      <c r="D1519" s="12">
        <v>4.69</v>
      </c>
      <c r="E1519" s="12">
        <v>0.57</v>
      </c>
      <c r="F1519" s="12">
        <v>50.0</v>
      </c>
      <c r="G1519" s="13">
        <v>44462.75571020834</v>
      </c>
      <c r="H1519" s="14">
        <f>IFERROR(__xludf.DUMMYFUNCTION("SPLIT(G1519, "", "")"),44462.0)</f>
        <v>44462</v>
      </c>
      <c r="I1519" s="15">
        <f>IFERROR(__xludf.DUMMYFUNCTION("""COMPUTED_VALUE"""),0.7557060185185185)</f>
        <v>0.7557060185</v>
      </c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</row>
    <row r="1520">
      <c r="A1520" s="12">
        <v>0.95</v>
      </c>
      <c r="B1520" s="12">
        <v>227.7</v>
      </c>
      <c r="C1520" s="12">
        <v>123.8</v>
      </c>
      <c r="D1520" s="12">
        <v>4.69</v>
      </c>
      <c r="E1520" s="12">
        <v>0.57</v>
      </c>
      <c r="F1520" s="12">
        <v>50.0</v>
      </c>
      <c r="G1520" s="13">
        <v>44462.75581106481</v>
      </c>
      <c r="H1520" s="14">
        <f>IFERROR(__xludf.DUMMYFUNCTION("SPLIT(G1520, "", "")"),44462.0)</f>
        <v>44462</v>
      </c>
      <c r="I1520" s="15">
        <f>IFERROR(__xludf.DUMMYFUNCTION("""COMPUTED_VALUE"""),0.7558101851851852)</f>
        <v>0.7558101852</v>
      </c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</row>
    <row r="1521">
      <c r="A1521" s="12">
        <v>0.94</v>
      </c>
      <c r="B1521" s="12">
        <v>227.6</v>
      </c>
      <c r="C1521" s="12">
        <v>122.8</v>
      </c>
      <c r="D1521" s="12">
        <v>4.69</v>
      </c>
      <c r="E1521" s="12">
        <v>0.57</v>
      </c>
      <c r="F1521" s="12">
        <v>49.9</v>
      </c>
      <c r="G1521" s="13">
        <v>44462.755911608794</v>
      </c>
      <c r="H1521" s="14">
        <f>IFERROR(__xludf.DUMMYFUNCTION("SPLIT(G1521, "", "")"),44462.0)</f>
        <v>44462</v>
      </c>
      <c r="I1521" s="15">
        <f>IFERROR(__xludf.DUMMYFUNCTION("""COMPUTED_VALUE"""),0.7559143518518519)</f>
        <v>0.7559143519</v>
      </c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</row>
    <row r="1522">
      <c r="A1522" s="12">
        <v>0.94</v>
      </c>
      <c r="B1522" s="12">
        <v>227.5</v>
      </c>
      <c r="C1522" s="12">
        <v>121.7</v>
      </c>
      <c r="D1522" s="12">
        <v>4.69</v>
      </c>
      <c r="E1522" s="12">
        <v>0.57</v>
      </c>
      <c r="F1522" s="12">
        <v>49.9</v>
      </c>
      <c r="G1522" s="13">
        <v>44462.75602828704</v>
      </c>
      <c r="H1522" s="14">
        <f>IFERROR(__xludf.DUMMYFUNCTION("SPLIT(G1522, "", "")"),44462.0)</f>
        <v>44462</v>
      </c>
      <c r="I1522" s="15">
        <f>IFERROR(__xludf.DUMMYFUNCTION("""COMPUTED_VALUE"""),0.7560300925925926)</f>
        <v>0.7560300926</v>
      </c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</row>
    <row r="1523">
      <c r="A1523" s="12">
        <v>0.93</v>
      </c>
      <c r="B1523" s="12">
        <v>227.5</v>
      </c>
      <c r="C1523" s="12">
        <v>120.3</v>
      </c>
      <c r="D1523" s="12">
        <v>4.69</v>
      </c>
      <c r="E1523" s="12">
        <v>0.57</v>
      </c>
      <c r="F1523" s="12">
        <v>49.9</v>
      </c>
      <c r="G1523" s="13">
        <v>44462.75615395833</v>
      </c>
      <c r="H1523" s="14">
        <f>IFERROR(__xludf.DUMMYFUNCTION("SPLIT(G1523, "", "")"),44462.0)</f>
        <v>44462</v>
      </c>
      <c r="I1523" s="15">
        <f>IFERROR(__xludf.DUMMYFUNCTION("""COMPUTED_VALUE"""),0.7561574074074074)</f>
        <v>0.7561574074</v>
      </c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</row>
    <row r="1524">
      <c r="A1524" s="12">
        <v>0.92</v>
      </c>
      <c r="B1524" s="12">
        <v>227.6</v>
      </c>
      <c r="C1524" s="12">
        <v>119.1</v>
      </c>
      <c r="D1524" s="12">
        <v>4.69</v>
      </c>
      <c r="E1524" s="12">
        <v>0.57</v>
      </c>
      <c r="F1524" s="12">
        <v>49.9</v>
      </c>
      <c r="G1524" s="13">
        <v>44462.75626137732</v>
      </c>
      <c r="H1524" s="14">
        <f>IFERROR(__xludf.DUMMYFUNCTION("SPLIT(G1524, "", "")"),44462.0)</f>
        <v>44462</v>
      </c>
      <c r="I1524" s="15">
        <f>IFERROR(__xludf.DUMMYFUNCTION("""COMPUTED_VALUE"""),0.7562615740740741)</f>
        <v>0.7562615741</v>
      </c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</row>
    <row r="1525">
      <c r="A1525" s="12">
        <v>0.9</v>
      </c>
      <c r="B1525" s="12">
        <v>228.3</v>
      </c>
      <c r="C1525" s="12">
        <v>117.8</v>
      </c>
      <c r="D1525" s="12">
        <v>4.69</v>
      </c>
      <c r="E1525" s="12">
        <v>0.57</v>
      </c>
      <c r="F1525" s="12">
        <v>49.9</v>
      </c>
      <c r="G1525" s="13">
        <v>44462.75641659722</v>
      </c>
      <c r="H1525" s="14">
        <f>IFERROR(__xludf.DUMMYFUNCTION("SPLIT(G1525, "", "")"),44462.0)</f>
        <v>44462</v>
      </c>
      <c r="I1525" s="15">
        <f>IFERROR(__xludf.DUMMYFUNCTION("""COMPUTED_VALUE"""),0.7564120370370371)</f>
        <v>0.756412037</v>
      </c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</row>
    <row r="1526">
      <c r="A1526" s="12">
        <v>0.9</v>
      </c>
      <c r="B1526" s="12">
        <v>228.3</v>
      </c>
      <c r="C1526" s="12">
        <v>116.7</v>
      </c>
      <c r="D1526" s="12">
        <v>4.69</v>
      </c>
      <c r="E1526" s="12">
        <v>0.57</v>
      </c>
      <c r="F1526" s="12">
        <v>49.9</v>
      </c>
      <c r="G1526" s="13">
        <v>44462.75651734954</v>
      </c>
      <c r="H1526" s="14">
        <f>IFERROR(__xludf.DUMMYFUNCTION("SPLIT(G1526, "", "")"),44462.0)</f>
        <v>44462</v>
      </c>
      <c r="I1526" s="15">
        <f>IFERROR(__xludf.DUMMYFUNCTION("""COMPUTED_VALUE"""),0.7565162037037036)</f>
        <v>0.7565162037</v>
      </c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</row>
    <row r="1527">
      <c r="A1527" s="12">
        <v>0.89</v>
      </c>
      <c r="B1527" s="12">
        <v>228.1</v>
      </c>
      <c r="C1527" s="12">
        <v>115.7</v>
      </c>
      <c r="D1527" s="12">
        <v>4.69</v>
      </c>
      <c r="E1527" s="12">
        <v>0.57</v>
      </c>
      <c r="F1527" s="12">
        <v>49.9</v>
      </c>
      <c r="G1527" s="13">
        <v>44462.75661668982</v>
      </c>
      <c r="H1527" s="14">
        <f>IFERROR(__xludf.DUMMYFUNCTION("SPLIT(G1527, "", "")"),44462.0)</f>
        <v>44462</v>
      </c>
      <c r="I1527" s="15">
        <f>IFERROR(__xludf.DUMMYFUNCTION("""COMPUTED_VALUE"""),0.7566203703703703)</f>
        <v>0.7566203704</v>
      </c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</row>
    <row r="1528">
      <c r="A1528" s="12">
        <v>0.88</v>
      </c>
      <c r="B1528" s="12">
        <v>227.7</v>
      </c>
      <c r="C1528" s="12">
        <v>114.9</v>
      </c>
      <c r="D1528" s="12">
        <v>4.69</v>
      </c>
      <c r="E1528" s="12">
        <v>0.57</v>
      </c>
      <c r="F1528" s="12">
        <v>49.9</v>
      </c>
      <c r="G1528" s="13">
        <v>44462.75671429398</v>
      </c>
      <c r="H1528" s="14">
        <f>IFERROR(__xludf.DUMMYFUNCTION("SPLIT(G1528, "", "")"),44462.0)</f>
        <v>44462</v>
      </c>
      <c r="I1528" s="15">
        <f>IFERROR(__xludf.DUMMYFUNCTION("""COMPUTED_VALUE"""),0.756712962962963)</f>
        <v>0.756712963</v>
      </c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</row>
    <row r="1529">
      <c r="A1529" s="12">
        <v>0.88</v>
      </c>
      <c r="B1529" s="12">
        <v>227.9</v>
      </c>
      <c r="C1529" s="12">
        <v>114.0</v>
      </c>
      <c r="D1529" s="12">
        <v>4.69</v>
      </c>
      <c r="E1529" s="12">
        <v>0.57</v>
      </c>
      <c r="F1529" s="12">
        <v>49.9</v>
      </c>
      <c r="G1529" s="13">
        <v>44462.75681818287</v>
      </c>
      <c r="H1529" s="14">
        <f>IFERROR(__xludf.DUMMYFUNCTION("SPLIT(G1529, "", "")"),44462.0)</f>
        <v>44462</v>
      </c>
      <c r="I1529" s="15">
        <f>IFERROR(__xludf.DUMMYFUNCTION("""COMPUTED_VALUE"""),0.7568171296296297)</f>
        <v>0.7568171296</v>
      </c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</row>
    <row r="1530">
      <c r="A1530" s="12">
        <v>0.87</v>
      </c>
      <c r="B1530" s="12">
        <v>227.9</v>
      </c>
      <c r="C1530" s="12">
        <v>112.7</v>
      </c>
      <c r="D1530" s="12">
        <v>4.69</v>
      </c>
      <c r="E1530" s="12">
        <v>0.57</v>
      </c>
      <c r="F1530" s="12">
        <v>49.9</v>
      </c>
      <c r="G1530" s="13">
        <v>44462.75692674769</v>
      </c>
      <c r="H1530" s="14">
        <f>IFERROR(__xludf.DUMMYFUNCTION("SPLIT(G1530, "", "")"),44462.0)</f>
        <v>44462</v>
      </c>
      <c r="I1530" s="15">
        <f>IFERROR(__xludf.DUMMYFUNCTION("""COMPUTED_VALUE"""),0.7569212962962963)</f>
        <v>0.7569212963</v>
      </c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</row>
    <row r="1531">
      <c r="A1531" s="12">
        <v>0.87</v>
      </c>
      <c r="B1531" s="12">
        <v>227.9</v>
      </c>
      <c r="C1531" s="12">
        <v>111.8</v>
      </c>
      <c r="D1531" s="12">
        <v>4.69</v>
      </c>
      <c r="E1531" s="12">
        <v>0.57</v>
      </c>
      <c r="F1531" s="12">
        <v>49.9</v>
      </c>
      <c r="G1531" s="13">
        <v>44462.757029988425</v>
      </c>
      <c r="H1531" s="14">
        <f>IFERROR(__xludf.DUMMYFUNCTION("SPLIT(G1531, "", "")"),44462.0)</f>
        <v>44462</v>
      </c>
      <c r="I1531" s="15">
        <f>IFERROR(__xludf.DUMMYFUNCTION("""COMPUTED_VALUE"""),0.7570254629629629)</f>
        <v>0.757025463</v>
      </c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</row>
    <row r="1532">
      <c r="A1532" s="12">
        <v>0.86</v>
      </c>
      <c r="B1532" s="12">
        <v>227.7</v>
      </c>
      <c r="C1532" s="12">
        <v>111.0</v>
      </c>
      <c r="D1532" s="12">
        <v>4.69</v>
      </c>
      <c r="E1532" s="12">
        <v>0.57</v>
      </c>
      <c r="F1532" s="12">
        <v>49.9</v>
      </c>
      <c r="G1532" s="13">
        <v>44462.75713261574</v>
      </c>
      <c r="H1532" s="14">
        <f>IFERROR(__xludf.DUMMYFUNCTION("SPLIT(G1532, "", "")"),44462.0)</f>
        <v>44462</v>
      </c>
      <c r="I1532" s="15">
        <f>IFERROR(__xludf.DUMMYFUNCTION("""COMPUTED_VALUE"""),0.7571296296296296)</f>
        <v>0.7571296296</v>
      </c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</row>
    <row r="1533">
      <c r="A1533" s="12">
        <v>0.85</v>
      </c>
      <c r="B1533" s="12">
        <v>227.7</v>
      </c>
      <c r="C1533" s="12">
        <v>109.9</v>
      </c>
      <c r="D1533" s="12">
        <v>4.69</v>
      </c>
      <c r="E1533" s="12">
        <v>0.57</v>
      </c>
      <c r="F1533" s="12">
        <v>49.9</v>
      </c>
      <c r="G1533" s="13">
        <v>44462.75723741898</v>
      </c>
      <c r="H1533" s="14">
        <f>IFERROR(__xludf.DUMMYFUNCTION("SPLIT(G1533, "", "")"),44462.0)</f>
        <v>44462</v>
      </c>
      <c r="I1533" s="15">
        <f>IFERROR(__xludf.DUMMYFUNCTION("""COMPUTED_VALUE"""),0.7572337962962963)</f>
        <v>0.7572337963</v>
      </c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</row>
    <row r="1534">
      <c r="A1534" s="12">
        <v>0.85</v>
      </c>
      <c r="B1534" s="12">
        <v>227.6</v>
      </c>
      <c r="C1534" s="12">
        <v>109.0</v>
      </c>
      <c r="D1534" s="12">
        <v>4.69</v>
      </c>
      <c r="E1534" s="12">
        <v>0.57</v>
      </c>
      <c r="F1534" s="12">
        <v>49.9</v>
      </c>
      <c r="G1534" s="13">
        <v>44462.75734353009</v>
      </c>
      <c r="H1534" s="14">
        <f>IFERROR(__xludf.DUMMYFUNCTION("SPLIT(G1534, "", "")"),44462.0)</f>
        <v>44462</v>
      </c>
      <c r="I1534" s="15">
        <f>IFERROR(__xludf.DUMMYFUNCTION("""COMPUTED_VALUE"""),0.757337962962963)</f>
        <v>0.757337963</v>
      </c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</row>
    <row r="1535">
      <c r="A1535" s="12">
        <v>0.84</v>
      </c>
      <c r="B1535" s="12">
        <v>227.7</v>
      </c>
      <c r="C1535" s="12">
        <v>108.3</v>
      </c>
      <c r="D1535" s="12">
        <v>4.69</v>
      </c>
      <c r="E1535" s="12">
        <v>0.56</v>
      </c>
      <c r="F1535" s="12">
        <v>49.9</v>
      </c>
      <c r="G1535" s="13">
        <v>44462.75744920139</v>
      </c>
      <c r="H1535" s="14">
        <f>IFERROR(__xludf.DUMMYFUNCTION("SPLIT(G1535, "", "")"),44462.0)</f>
        <v>44462</v>
      </c>
      <c r="I1535" s="15">
        <f>IFERROR(__xludf.DUMMYFUNCTION("""COMPUTED_VALUE"""),0.7574537037037037)</f>
        <v>0.7574537037</v>
      </c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</row>
    <row r="1536">
      <c r="A1536" s="12">
        <v>0.84</v>
      </c>
      <c r="B1536" s="12">
        <v>227.7</v>
      </c>
      <c r="C1536" s="12">
        <v>107.4</v>
      </c>
      <c r="D1536" s="12">
        <v>4.7</v>
      </c>
      <c r="E1536" s="12">
        <v>0.56</v>
      </c>
      <c r="F1536" s="12">
        <v>49.9</v>
      </c>
      <c r="G1536" s="13">
        <v>44462.757560659724</v>
      </c>
      <c r="H1536" s="14">
        <f>IFERROR(__xludf.DUMMYFUNCTION("SPLIT(G1536, "", "")"),44462.0)</f>
        <v>44462</v>
      </c>
      <c r="I1536" s="15">
        <f>IFERROR(__xludf.DUMMYFUNCTION("""COMPUTED_VALUE"""),0.7575578703703704)</f>
        <v>0.7575578704</v>
      </c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</row>
    <row r="1537">
      <c r="A1537" s="12">
        <v>0.84</v>
      </c>
      <c r="B1537" s="12">
        <v>227.7</v>
      </c>
      <c r="C1537" s="12">
        <v>106.3</v>
      </c>
      <c r="D1537" s="12">
        <v>4.7</v>
      </c>
      <c r="E1537" s="12">
        <v>0.55</v>
      </c>
      <c r="F1537" s="12">
        <v>49.9</v>
      </c>
      <c r="G1537" s="13">
        <v>44462.75767153935</v>
      </c>
      <c r="H1537" s="14">
        <f>IFERROR(__xludf.DUMMYFUNCTION("SPLIT(G1537, "", "")"),44462.0)</f>
        <v>44462</v>
      </c>
      <c r="I1537" s="15">
        <f>IFERROR(__xludf.DUMMYFUNCTION("""COMPUTED_VALUE"""),0.7576736111111111)</f>
        <v>0.7576736111</v>
      </c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</row>
    <row r="1538">
      <c r="A1538" s="12">
        <v>0.83</v>
      </c>
      <c r="B1538" s="12">
        <v>227.6</v>
      </c>
      <c r="C1538" s="12">
        <v>105.5</v>
      </c>
      <c r="D1538" s="12">
        <v>4.7</v>
      </c>
      <c r="E1538" s="12">
        <v>0.56</v>
      </c>
      <c r="F1538" s="12">
        <v>50.0</v>
      </c>
      <c r="G1538" s="13">
        <v>44462.75777844907</v>
      </c>
      <c r="H1538" s="14">
        <f>IFERROR(__xludf.DUMMYFUNCTION("SPLIT(G1538, "", "")"),44462.0)</f>
        <v>44462</v>
      </c>
      <c r="I1538" s="15">
        <f>IFERROR(__xludf.DUMMYFUNCTION("""COMPUTED_VALUE"""),0.7577777777777778)</f>
        <v>0.7577777778</v>
      </c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</row>
    <row r="1539">
      <c r="A1539" s="12">
        <v>0.83</v>
      </c>
      <c r="B1539" s="12">
        <v>227.6</v>
      </c>
      <c r="C1539" s="12">
        <v>104.7</v>
      </c>
      <c r="D1539" s="12">
        <v>4.7</v>
      </c>
      <c r="E1539" s="12">
        <v>0.56</v>
      </c>
      <c r="F1539" s="12">
        <v>49.9</v>
      </c>
      <c r="G1539" s="13">
        <v>44462.757880034726</v>
      </c>
      <c r="H1539" s="14">
        <f>IFERROR(__xludf.DUMMYFUNCTION("SPLIT(G1539, "", "")"),44462.0)</f>
        <v>44462</v>
      </c>
      <c r="I1539" s="15">
        <f>IFERROR(__xludf.DUMMYFUNCTION("""COMPUTED_VALUE"""),0.7578819444444445)</f>
        <v>0.7578819444</v>
      </c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</row>
    <row r="1540">
      <c r="A1540" s="12">
        <v>0.82</v>
      </c>
      <c r="B1540" s="12">
        <v>227.6</v>
      </c>
      <c r="C1540" s="12">
        <v>103.9</v>
      </c>
      <c r="D1540" s="12">
        <v>4.7</v>
      </c>
      <c r="E1540" s="12">
        <v>0.55</v>
      </c>
      <c r="F1540" s="12">
        <v>50.0</v>
      </c>
      <c r="G1540" s="13">
        <v>44462.757979699076</v>
      </c>
      <c r="H1540" s="14">
        <f>IFERROR(__xludf.DUMMYFUNCTION("SPLIT(G1540, "", "")"),44462.0)</f>
        <v>44462</v>
      </c>
      <c r="I1540" s="15">
        <f>IFERROR(__xludf.DUMMYFUNCTION("""COMPUTED_VALUE"""),0.757974537037037)</f>
        <v>0.757974537</v>
      </c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</row>
    <row r="1541">
      <c r="A1541" s="12">
        <v>0.82</v>
      </c>
      <c r="B1541" s="12">
        <v>227.7</v>
      </c>
      <c r="C1541" s="12">
        <v>103.3</v>
      </c>
      <c r="D1541" s="12">
        <v>4.7</v>
      </c>
      <c r="E1541" s="12">
        <v>0.55</v>
      </c>
      <c r="F1541" s="12">
        <v>50.0</v>
      </c>
      <c r="G1541" s="13">
        <v>44462.75807984953</v>
      </c>
      <c r="H1541" s="14">
        <f>IFERROR(__xludf.DUMMYFUNCTION("SPLIT(G1541, "", "")"),44462.0)</f>
        <v>44462</v>
      </c>
      <c r="I1541" s="15">
        <f>IFERROR(__xludf.DUMMYFUNCTION("""COMPUTED_VALUE"""),0.7580787037037037)</f>
        <v>0.7580787037</v>
      </c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</row>
    <row r="1542">
      <c r="A1542" s="12">
        <v>0.81</v>
      </c>
      <c r="B1542" s="12">
        <v>227.6</v>
      </c>
      <c r="C1542" s="12">
        <v>102.5</v>
      </c>
      <c r="D1542" s="12">
        <v>4.7</v>
      </c>
      <c r="E1542" s="12">
        <v>0.55</v>
      </c>
      <c r="F1542" s="12">
        <v>50.0</v>
      </c>
      <c r="G1542" s="13">
        <v>44462.7581899537</v>
      </c>
      <c r="H1542" s="14">
        <f>IFERROR(__xludf.DUMMYFUNCTION("SPLIT(G1542, "", "")"),44462.0)</f>
        <v>44462</v>
      </c>
      <c r="I1542" s="15">
        <f>IFERROR(__xludf.DUMMYFUNCTION("""COMPUTED_VALUE"""),0.7581944444444444)</f>
        <v>0.7581944444</v>
      </c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</row>
    <row r="1543">
      <c r="A1543" s="12">
        <v>0.81</v>
      </c>
      <c r="B1543" s="12">
        <v>227.5</v>
      </c>
      <c r="C1543" s="12">
        <v>101.7</v>
      </c>
      <c r="D1543" s="12">
        <v>4.7</v>
      </c>
      <c r="E1543" s="12">
        <v>0.55</v>
      </c>
      <c r="F1543" s="12">
        <v>49.9</v>
      </c>
      <c r="G1543" s="13">
        <v>44462.75829880787</v>
      </c>
      <c r="H1543" s="14">
        <f>IFERROR(__xludf.DUMMYFUNCTION("SPLIT(G1543, "", "")"),44462.0)</f>
        <v>44462</v>
      </c>
      <c r="I1543" s="15">
        <f>IFERROR(__xludf.DUMMYFUNCTION("""COMPUTED_VALUE"""),0.7582986111111111)</f>
        <v>0.7582986111</v>
      </c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</row>
    <row r="1544">
      <c r="A1544" s="12">
        <v>0.81</v>
      </c>
      <c r="B1544" s="12">
        <v>226.6</v>
      </c>
      <c r="C1544" s="12">
        <v>100.6</v>
      </c>
      <c r="D1544" s="12">
        <v>4.7</v>
      </c>
      <c r="E1544" s="12">
        <v>0.55</v>
      </c>
      <c r="F1544" s="12">
        <v>50.0</v>
      </c>
      <c r="G1544" s="13">
        <v>44462.75841064815</v>
      </c>
      <c r="H1544" s="14">
        <f>IFERROR(__xludf.DUMMYFUNCTION("SPLIT(G1544, "", "")"),44462.0)</f>
        <v>44462</v>
      </c>
      <c r="I1544" s="15">
        <f>IFERROR(__xludf.DUMMYFUNCTION("""COMPUTED_VALUE"""),0.7584143518518518)</f>
        <v>0.7584143519</v>
      </c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</row>
    <row r="1545">
      <c r="A1545" s="12">
        <v>0.8</v>
      </c>
      <c r="B1545" s="12">
        <v>227.8</v>
      </c>
      <c r="C1545" s="12">
        <v>100.0</v>
      </c>
      <c r="D1545" s="12">
        <v>4.7</v>
      </c>
      <c r="E1545" s="12">
        <v>0.55</v>
      </c>
      <c r="F1545" s="12">
        <v>49.9</v>
      </c>
      <c r="G1545" s="13">
        <v>44462.75851703704</v>
      </c>
      <c r="H1545" s="14">
        <f>IFERROR(__xludf.DUMMYFUNCTION("SPLIT(G1545, "", "")"),44462.0)</f>
        <v>44462</v>
      </c>
      <c r="I1545" s="15">
        <f>IFERROR(__xludf.DUMMYFUNCTION("""COMPUTED_VALUE"""),0.7585185185185185)</f>
        <v>0.7585185185</v>
      </c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</row>
    <row r="1546">
      <c r="A1546" s="12">
        <v>0.79</v>
      </c>
      <c r="B1546" s="12">
        <v>227.7</v>
      </c>
      <c r="C1546" s="12">
        <v>99.5</v>
      </c>
      <c r="D1546" s="12">
        <v>4.7</v>
      </c>
      <c r="E1546" s="12">
        <v>0.55</v>
      </c>
      <c r="F1546" s="12">
        <v>49.9</v>
      </c>
      <c r="G1546" s="13">
        <v>44462.758625</v>
      </c>
      <c r="H1546" s="14">
        <f>IFERROR(__xludf.DUMMYFUNCTION("SPLIT(G1546, "", "")"),44462.0)</f>
        <v>44462</v>
      </c>
      <c r="I1546" s="15">
        <f>IFERROR(__xludf.DUMMYFUNCTION("""COMPUTED_VALUE"""),0.7586226851851852)</f>
        <v>0.7586226852</v>
      </c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</row>
    <row r="1547">
      <c r="A1547" s="12">
        <v>0.79</v>
      </c>
      <c r="B1547" s="12">
        <v>227.6</v>
      </c>
      <c r="C1547" s="12">
        <v>98.9</v>
      </c>
      <c r="D1547" s="12">
        <v>4.7</v>
      </c>
      <c r="E1547" s="12">
        <v>0.55</v>
      </c>
      <c r="F1547" s="12">
        <v>49.9</v>
      </c>
      <c r="G1547" s="13">
        <v>44462.75872795139</v>
      </c>
      <c r="H1547" s="14">
        <f>IFERROR(__xludf.DUMMYFUNCTION("SPLIT(G1547, "", "")"),44462.0)</f>
        <v>44462</v>
      </c>
      <c r="I1547" s="15">
        <f>IFERROR(__xludf.DUMMYFUNCTION("""COMPUTED_VALUE"""),0.7587268518518518)</f>
        <v>0.7587268519</v>
      </c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</row>
    <row r="1548">
      <c r="A1548" s="12">
        <v>0.78</v>
      </c>
      <c r="B1548" s="12">
        <v>227.6</v>
      </c>
      <c r="C1548" s="12">
        <v>98.2</v>
      </c>
      <c r="D1548" s="12">
        <v>4.7</v>
      </c>
      <c r="E1548" s="12">
        <v>0.55</v>
      </c>
      <c r="F1548" s="12">
        <v>49.9</v>
      </c>
      <c r="G1548" s="13">
        <v>44462.758822592594</v>
      </c>
      <c r="H1548" s="14">
        <f>IFERROR(__xludf.DUMMYFUNCTION("SPLIT(G1548, "", "")"),44462.0)</f>
        <v>44462</v>
      </c>
      <c r="I1548" s="15">
        <f>IFERROR(__xludf.DUMMYFUNCTION("""COMPUTED_VALUE"""),0.7588194444444445)</f>
        <v>0.7588194444</v>
      </c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</row>
    <row r="1549">
      <c r="A1549" s="12">
        <v>0.78</v>
      </c>
      <c r="B1549" s="12">
        <v>227.6</v>
      </c>
      <c r="C1549" s="12">
        <v>97.6</v>
      </c>
      <c r="D1549" s="12">
        <v>4.7</v>
      </c>
      <c r="E1549" s="12">
        <v>0.55</v>
      </c>
      <c r="F1549" s="12">
        <v>49.9</v>
      </c>
      <c r="G1549" s="13">
        <v>44462.75892</v>
      </c>
      <c r="H1549" s="14">
        <f>IFERROR(__xludf.DUMMYFUNCTION("SPLIT(G1549, "", "")"),44462.0)</f>
        <v>44462</v>
      </c>
      <c r="I1549" s="15">
        <f>IFERROR(__xludf.DUMMYFUNCTION("""COMPUTED_VALUE"""),0.7589236111111111)</f>
        <v>0.7589236111</v>
      </c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</row>
    <row r="1550">
      <c r="A1550" s="12">
        <v>0.77</v>
      </c>
      <c r="B1550" s="12">
        <v>227.6</v>
      </c>
      <c r="C1550" s="12">
        <v>96.7</v>
      </c>
      <c r="D1550" s="12">
        <v>4.7</v>
      </c>
      <c r="E1550" s="12">
        <v>0.55</v>
      </c>
      <c r="F1550" s="12">
        <v>49.9</v>
      </c>
      <c r="G1550" s="13">
        <v>44462.759021238424</v>
      </c>
      <c r="H1550" s="14">
        <f>IFERROR(__xludf.DUMMYFUNCTION("SPLIT(G1550, "", "")"),44462.0)</f>
        <v>44462</v>
      </c>
      <c r="I1550" s="15">
        <f>IFERROR(__xludf.DUMMYFUNCTION("""COMPUTED_VALUE"""),0.7590162037037037)</f>
        <v>0.7590162037</v>
      </c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</row>
    <row r="1551">
      <c r="A1551" s="12">
        <v>0.77</v>
      </c>
      <c r="B1551" s="12">
        <v>227.7</v>
      </c>
      <c r="C1551" s="12">
        <v>96.1</v>
      </c>
      <c r="D1551" s="12">
        <v>4.7</v>
      </c>
      <c r="E1551" s="12">
        <v>0.55</v>
      </c>
      <c r="F1551" s="12">
        <v>49.9</v>
      </c>
      <c r="G1551" s="13">
        <v>44462.75916252314</v>
      </c>
      <c r="H1551" s="14">
        <f>IFERROR(__xludf.DUMMYFUNCTION("SPLIT(G1551, "", "")"),44462.0)</f>
        <v>44462</v>
      </c>
      <c r="I1551" s="15">
        <f>IFERROR(__xludf.DUMMYFUNCTION("""COMPUTED_VALUE"""),0.7591666666666667)</f>
        <v>0.7591666667</v>
      </c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</row>
    <row r="1552">
      <c r="A1552" s="12">
        <v>0.76</v>
      </c>
      <c r="B1552" s="12">
        <v>227.7</v>
      </c>
      <c r="C1552" s="12">
        <v>95.3</v>
      </c>
      <c r="D1552" s="12">
        <v>4.7</v>
      </c>
      <c r="E1552" s="12">
        <v>0.55</v>
      </c>
      <c r="F1552" s="12">
        <v>50.0</v>
      </c>
      <c r="G1552" s="13">
        <v>44462.75926501157</v>
      </c>
      <c r="H1552" s="14">
        <f>IFERROR(__xludf.DUMMYFUNCTION("SPLIT(G1552, "", "")"),44462.0)</f>
        <v>44462</v>
      </c>
      <c r="I1552" s="15">
        <f>IFERROR(__xludf.DUMMYFUNCTION("""COMPUTED_VALUE"""),0.7592592592592593)</f>
        <v>0.7592592593</v>
      </c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</row>
    <row r="1553">
      <c r="A1553" s="12">
        <v>0.76</v>
      </c>
      <c r="B1553" s="12">
        <v>227.8</v>
      </c>
      <c r="C1553" s="12">
        <v>94.6</v>
      </c>
      <c r="D1553" s="12">
        <v>4.7</v>
      </c>
      <c r="E1553" s="12">
        <v>0.55</v>
      </c>
      <c r="F1553" s="12">
        <v>50.0</v>
      </c>
      <c r="G1553" s="13">
        <v>44462.75936570602</v>
      </c>
      <c r="H1553" s="14">
        <f>IFERROR(__xludf.DUMMYFUNCTION("SPLIT(G1553, "", "")"),44462.0)</f>
        <v>44462</v>
      </c>
      <c r="I1553" s="15">
        <f>IFERROR(__xludf.DUMMYFUNCTION("""COMPUTED_VALUE"""),0.7593634259259259)</f>
        <v>0.7593634259</v>
      </c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</row>
    <row r="1554">
      <c r="A1554" s="12">
        <v>0.76</v>
      </c>
      <c r="B1554" s="12">
        <v>227.8</v>
      </c>
      <c r="C1554" s="12">
        <v>94.1</v>
      </c>
      <c r="D1554" s="12">
        <v>4.7</v>
      </c>
      <c r="E1554" s="12">
        <v>0.55</v>
      </c>
      <c r="F1554" s="12">
        <v>50.0</v>
      </c>
      <c r="G1554" s="13">
        <v>44462.75946648148</v>
      </c>
      <c r="H1554" s="14">
        <f>IFERROR(__xludf.DUMMYFUNCTION("SPLIT(G1554, "", "")"),44462.0)</f>
        <v>44462</v>
      </c>
      <c r="I1554" s="15">
        <f>IFERROR(__xludf.DUMMYFUNCTION("""COMPUTED_VALUE"""),0.7594675925925926)</f>
        <v>0.7594675926</v>
      </c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</row>
    <row r="1555">
      <c r="A1555" s="12">
        <v>0.75</v>
      </c>
      <c r="B1555" s="12">
        <v>227.6</v>
      </c>
      <c r="C1555" s="12">
        <v>93.4</v>
      </c>
      <c r="D1555" s="12">
        <v>4.7</v>
      </c>
      <c r="E1555" s="12">
        <v>0.55</v>
      </c>
      <c r="F1555" s="12">
        <v>50.0</v>
      </c>
      <c r="G1555" s="13">
        <v>44462.75957145833</v>
      </c>
      <c r="H1555" s="14">
        <f>IFERROR(__xludf.DUMMYFUNCTION("SPLIT(G1555, "", "")"),44462.0)</f>
        <v>44462</v>
      </c>
      <c r="I1555" s="15">
        <f>IFERROR(__xludf.DUMMYFUNCTION("""COMPUTED_VALUE"""),0.7595717592592592)</f>
        <v>0.7595717593</v>
      </c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</row>
    <row r="1556">
      <c r="A1556" s="12">
        <v>0.75</v>
      </c>
      <c r="B1556" s="12">
        <v>227.7</v>
      </c>
      <c r="C1556" s="12">
        <v>92.6</v>
      </c>
      <c r="D1556" s="12">
        <v>4.7</v>
      </c>
      <c r="E1556" s="12">
        <v>0.55</v>
      </c>
      <c r="F1556" s="12">
        <v>50.0</v>
      </c>
      <c r="G1556" s="13">
        <v>44462.75967665509</v>
      </c>
      <c r="H1556" s="14">
        <f>IFERROR(__xludf.DUMMYFUNCTION("SPLIT(G1556, "", "")"),44462.0)</f>
        <v>44462</v>
      </c>
      <c r="I1556" s="15">
        <f>IFERROR(__xludf.DUMMYFUNCTION("""COMPUTED_VALUE"""),0.7596759259259259)</f>
        <v>0.7596759259</v>
      </c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</row>
    <row r="1557">
      <c r="A1557" s="12">
        <v>0.74</v>
      </c>
      <c r="B1557" s="12">
        <v>227.8</v>
      </c>
      <c r="C1557" s="12">
        <v>91.9</v>
      </c>
      <c r="D1557" s="12">
        <v>4.7</v>
      </c>
      <c r="E1557" s="12">
        <v>0.55</v>
      </c>
      <c r="F1557" s="12">
        <v>50.0</v>
      </c>
      <c r="G1557" s="13">
        <v>44462.75977626158</v>
      </c>
      <c r="H1557" s="14">
        <f>IFERROR(__xludf.DUMMYFUNCTION("SPLIT(G1557, "", "")"),44462.0)</f>
        <v>44462</v>
      </c>
      <c r="I1557" s="15">
        <f>IFERROR(__xludf.DUMMYFUNCTION("""COMPUTED_VALUE"""),0.7597800925925926)</f>
        <v>0.7597800926</v>
      </c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</row>
    <row r="1558">
      <c r="A1558" s="12">
        <v>0.74</v>
      </c>
      <c r="B1558" s="12">
        <v>227.8</v>
      </c>
      <c r="C1558" s="12">
        <v>91.3</v>
      </c>
      <c r="D1558" s="12">
        <v>4.7</v>
      </c>
      <c r="E1558" s="12">
        <v>0.54</v>
      </c>
      <c r="F1558" s="12">
        <v>50.0</v>
      </c>
      <c r="G1558" s="13">
        <v>44462.75987546296</v>
      </c>
      <c r="H1558" s="14">
        <f>IFERROR(__xludf.DUMMYFUNCTION("SPLIT(G1558, "", "")"),44462.0)</f>
        <v>44462</v>
      </c>
      <c r="I1558" s="15">
        <f>IFERROR(__xludf.DUMMYFUNCTION("""COMPUTED_VALUE"""),0.7598726851851851)</f>
        <v>0.7598726852</v>
      </c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</row>
    <row r="1559">
      <c r="A1559" s="12">
        <v>0.73</v>
      </c>
      <c r="B1559" s="12">
        <v>227.7</v>
      </c>
      <c r="C1559" s="12">
        <v>90.7</v>
      </c>
      <c r="D1559" s="12">
        <v>4.7</v>
      </c>
      <c r="E1559" s="12">
        <v>0.54</v>
      </c>
      <c r="F1559" s="12">
        <v>50.0</v>
      </c>
      <c r="G1559" s="13">
        <v>44462.75997459491</v>
      </c>
      <c r="H1559" s="14">
        <f>IFERROR(__xludf.DUMMYFUNCTION("SPLIT(G1559, "", "")"),44462.0)</f>
        <v>44462</v>
      </c>
      <c r="I1559" s="15">
        <f>IFERROR(__xludf.DUMMYFUNCTION("""COMPUTED_VALUE"""),0.7599768518518518)</f>
        <v>0.7599768519</v>
      </c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</row>
    <row r="1560">
      <c r="A1560" s="12">
        <v>0.73</v>
      </c>
      <c r="B1560" s="12">
        <v>227.8</v>
      </c>
      <c r="C1560" s="12">
        <v>90.1</v>
      </c>
      <c r="D1560" s="12">
        <v>4.7</v>
      </c>
      <c r="E1560" s="12">
        <v>0.54</v>
      </c>
      <c r="F1560" s="12">
        <v>49.9</v>
      </c>
      <c r="G1560" s="13">
        <v>44462.760078969906</v>
      </c>
      <c r="H1560" s="14">
        <f>IFERROR(__xludf.DUMMYFUNCTION("SPLIT(G1560, "", "")"),44462.0)</f>
        <v>44462</v>
      </c>
      <c r="I1560" s="15">
        <f>IFERROR(__xludf.DUMMYFUNCTION("""COMPUTED_VALUE"""),0.7600810185185185)</f>
        <v>0.7600810185</v>
      </c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</row>
    <row r="1561">
      <c r="A1561" s="12">
        <v>0.72</v>
      </c>
      <c r="B1561" s="12">
        <v>227.8</v>
      </c>
      <c r="C1561" s="12">
        <v>89.3</v>
      </c>
      <c r="D1561" s="12">
        <v>4.7</v>
      </c>
      <c r="E1561" s="12">
        <v>0.54</v>
      </c>
      <c r="F1561" s="12">
        <v>49.9</v>
      </c>
      <c r="G1561" s="13">
        <v>44462.76018243056</v>
      </c>
      <c r="H1561" s="14">
        <f>IFERROR(__xludf.DUMMYFUNCTION("SPLIT(G1561, "", "")"),44462.0)</f>
        <v>44462</v>
      </c>
      <c r="I1561" s="15">
        <f>IFERROR(__xludf.DUMMYFUNCTION("""COMPUTED_VALUE"""),0.7601851851851852)</f>
        <v>0.7601851852</v>
      </c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</row>
    <row r="1562">
      <c r="A1562" s="12">
        <v>0.72</v>
      </c>
      <c r="B1562" s="12">
        <v>228.1</v>
      </c>
      <c r="C1562" s="12">
        <v>88.8</v>
      </c>
      <c r="D1562" s="12">
        <v>4.7</v>
      </c>
      <c r="E1562" s="12">
        <v>0.54</v>
      </c>
      <c r="F1562" s="12">
        <v>49.9</v>
      </c>
      <c r="G1562" s="13">
        <v>44462.76028340278</v>
      </c>
      <c r="H1562" s="14">
        <f>IFERROR(__xludf.DUMMYFUNCTION("SPLIT(G1562, "", "")"),44462.0)</f>
        <v>44462</v>
      </c>
      <c r="I1562" s="15">
        <f>IFERROR(__xludf.DUMMYFUNCTION("""COMPUTED_VALUE"""),0.7602777777777778)</f>
        <v>0.7602777778</v>
      </c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</row>
    <row r="1563">
      <c r="A1563" s="12">
        <v>0.71</v>
      </c>
      <c r="B1563" s="12">
        <v>227.8</v>
      </c>
      <c r="C1563" s="12">
        <v>87.6</v>
      </c>
      <c r="D1563" s="12">
        <v>4.7</v>
      </c>
      <c r="E1563" s="12">
        <v>0.54</v>
      </c>
      <c r="F1563" s="12">
        <v>49.9</v>
      </c>
      <c r="G1563" s="13">
        <v>44462.760436296296</v>
      </c>
      <c r="H1563" s="14">
        <f>IFERROR(__xludf.DUMMYFUNCTION("SPLIT(G1563, "", "")"),44462.0)</f>
        <v>44462</v>
      </c>
      <c r="I1563" s="15">
        <f>IFERROR(__xludf.DUMMYFUNCTION("""COMPUTED_VALUE"""),0.7604398148148148)</f>
        <v>0.7604398148</v>
      </c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</row>
    <row r="1564">
      <c r="A1564" s="12">
        <v>0.71</v>
      </c>
      <c r="B1564" s="12">
        <v>227.6</v>
      </c>
      <c r="C1564" s="12">
        <v>87.2</v>
      </c>
      <c r="D1564" s="12">
        <v>4.7</v>
      </c>
      <c r="E1564" s="12">
        <v>0.54</v>
      </c>
      <c r="F1564" s="12">
        <v>49.9</v>
      </c>
      <c r="G1564" s="13">
        <v>44462.76053849537</v>
      </c>
      <c r="H1564" s="14">
        <f>IFERROR(__xludf.DUMMYFUNCTION("SPLIT(G1564, "", "")"),44462.0)</f>
        <v>44462</v>
      </c>
      <c r="I1564" s="15">
        <f>IFERROR(__xludf.DUMMYFUNCTION("""COMPUTED_VALUE"""),0.7605439814814815)</f>
        <v>0.7605439815</v>
      </c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</row>
    <row r="1565">
      <c r="A1565" s="12">
        <v>0.7</v>
      </c>
      <c r="B1565" s="12">
        <v>227.7</v>
      </c>
      <c r="C1565" s="12">
        <v>86.5</v>
      </c>
      <c r="D1565" s="12">
        <v>4.7</v>
      </c>
      <c r="E1565" s="12">
        <v>0.54</v>
      </c>
      <c r="F1565" s="12">
        <v>50.0</v>
      </c>
      <c r="G1565" s="13">
        <v>44462.76064409722</v>
      </c>
      <c r="H1565" s="14">
        <f>IFERROR(__xludf.DUMMYFUNCTION("SPLIT(G1565, "", "")"),44462.0)</f>
        <v>44462</v>
      </c>
      <c r="I1565" s="15">
        <f>IFERROR(__xludf.DUMMYFUNCTION("""COMPUTED_VALUE"""),0.7606481481481482)</f>
        <v>0.7606481481</v>
      </c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</row>
    <row r="1566">
      <c r="A1566" s="12">
        <v>0.7</v>
      </c>
      <c r="B1566" s="12">
        <v>227.7</v>
      </c>
      <c r="C1566" s="12">
        <v>85.8</v>
      </c>
      <c r="D1566" s="12">
        <v>4.7</v>
      </c>
      <c r="E1566" s="12">
        <v>0.54</v>
      </c>
      <c r="F1566" s="12">
        <v>49.9</v>
      </c>
      <c r="G1566" s="13">
        <v>44462.7607434838</v>
      </c>
      <c r="H1566" s="14">
        <f>IFERROR(__xludf.DUMMYFUNCTION("SPLIT(G1566, "", "")"),44462.0)</f>
        <v>44462</v>
      </c>
      <c r="I1566" s="15">
        <f>IFERROR(__xludf.DUMMYFUNCTION("""COMPUTED_VALUE"""),0.7607407407407407)</f>
        <v>0.7607407407</v>
      </c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</row>
    <row r="1567">
      <c r="A1567" s="12">
        <v>0.69</v>
      </c>
      <c r="B1567" s="12">
        <v>228.1</v>
      </c>
      <c r="C1567" s="12">
        <v>85.3</v>
      </c>
      <c r="D1567" s="12">
        <v>4.7</v>
      </c>
      <c r="E1567" s="12">
        <v>0.54</v>
      </c>
      <c r="F1567" s="12">
        <v>49.9</v>
      </c>
      <c r="G1567" s="13">
        <v>44462.76084765047</v>
      </c>
      <c r="H1567" s="14">
        <f>IFERROR(__xludf.DUMMYFUNCTION("SPLIT(G1567, "", "")"),44462.0)</f>
        <v>44462</v>
      </c>
      <c r="I1567" s="15">
        <f>IFERROR(__xludf.DUMMYFUNCTION("""COMPUTED_VALUE"""),0.7608449074074074)</f>
        <v>0.7608449074</v>
      </c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</row>
    <row r="1568">
      <c r="A1568" s="12">
        <v>0.69</v>
      </c>
      <c r="B1568" s="12">
        <v>227.9</v>
      </c>
      <c r="C1568" s="12">
        <v>84.6</v>
      </c>
      <c r="D1568" s="12">
        <v>4.7</v>
      </c>
      <c r="E1568" s="12">
        <v>0.54</v>
      </c>
      <c r="F1568" s="12">
        <v>50.0</v>
      </c>
      <c r="G1568" s="13">
        <v>44462.760954363424</v>
      </c>
      <c r="H1568" s="14">
        <f>IFERROR(__xludf.DUMMYFUNCTION("SPLIT(G1568, "", "")"),44462.0)</f>
        <v>44462</v>
      </c>
      <c r="I1568" s="15">
        <f>IFERROR(__xludf.DUMMYFUNCTION("""COMPUTED_VALUE"""),0.7609490740740741)</f>
        <v>0.7609490741</v>
      </c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</row>
    <row r="1569">
      <c r="A1569" s="12">
        <v>0.68</v>
      </c>
      <c r="B1569" s="12">
        <v>228.0</v>
      </c>
      <c r="C1569" s="12">
        <v>83.9</v>
      </c>
      <c r="D1569" s="12">
        <v>4.7</v>
      </c>
      <c r="E1569" s="12">
        <v>0.54</v>
      </c>
      <c r="F1569" s="12">
        <v>50.0</v>
      </c>
      <c r="G1569" s="13">
        <v>44462.76106579861</v>
      </c>
      <c r="H1569" s="14">
        <f>IFERROR(__xludf.DUMMYFUNCTION("SPLIT(G1569, "", "")"),44462.0)</f>
        <v>44462</v>
      </c>
      <c r="I1569" s="15">
        <f>IFERROR(__xludf.DUMMYFUNCTION("""COMPUTED_VALUE"""),0.7610648148148148)</f>
        <v>0.7610648148</v>
      </c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</row>
    <row r="1570">
      <c r="A1570" s="12">
        <v>0.68</v>
      </c>
      <c r="B1570" s="12">
        <v>227.9</v>
      </c>
      <c r="C1570" s="12">
        <v>83.3</v>
      </c>
      <c r="D1570" s="12">
        <v>4.7</v>
      </c>
      <c r="E1570" s="12">
        <v>0.54</v>
      </c>
      <c r="F1570" s="12">
        <v>50.0</v>
      </c>
      <c r="G1570" s="13">
        <v>44462.76117409722</v>
      </c>
      <c r="H1570" s="14">
        <f>IFERROR(__xludf.DUMMYFUNCTION("SPLIT(G1570, "", "")"),44462.0)</f>
        <v>44462</v>
      </c>
      <c r="I1570" s="15">
        <f>IFERROR(__xludf.DUMMYFUNCTION("""COMPUTED_VALUE"""),0.7611689814814815)</f>
        <v>0.7611689815</v>
      </c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</row>
    <row r="1571">
      <c r="A1571" s="12">
        <v>0.67</v>
      </c>
      <c r="B1571" s="12">
        <v>227.9</v>
      </c>
      <c r="C1571" s="12">
        <v>82.6</v>
      </c>
      <c r="D1571" s="12">
        <v>4.7</v>
      </c>
      <c r="E1571" s="12">
        <v>0.54</v>
      </c>
      <c r="F1571" s="12">
        <v>49.9</v>
      </c>
      <c r="G1571" s="13">
        <v>44462.76127849537</v>
      </c>
      <c r="H1571" s="14">
        <f>IFERROR(__xludf.DUMMYFUNCTION("SPLIT(G1571, "", "")"),44462.0)</f>
        <v>44462</v>
      </c>
      <c r="I1571" s="15">
        <f>IFERROR(__xludf.DUMMYFUNCTION("""COMPUTED_VALUE"""),0.7612731481481482)</f>
        <v>0.7612731481</v>
      </c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</row>
    <row r="1572">
      <c r="A1572" s="12">
        <v>0.66</v>
      </c>
      <c r="B1572" s="12">
        <v>228.2</v>
      </c>
      <c r="C1572" s="12">
        <v>82.0</v>
      </c>
      <c r="D1572" s="12">
        <v>4.7</v>
      </c>
      <c r="E1572" s="12">
        <v>0.54</v>
      </c>
      <c r="F1572" s="12">
        <v>49.9</v>
      </c>
      <c r="G1572" s="13">
        <v>44462.761390914355</v>
      </c>
      <c r="H1572" s="14">
        <f>IFERROR(__xludf.DUMMYFUNCTION("SPLIT(G1572, "", "")"),44462.0)</f>
        <v>44462</v>
      </c>
      <c r="I1572" s="15">
        <f>IFERROR(__xludf.DUMMYFUNCTION("""COMPUTED_VALUE"""),0.7613888888888889)</f>
        <v>0.7613888889</v>
      </c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</row>
    <row r="1573">
      <c r="A1573" s="12">
        <v>0.65</v>
      </c>
      <c r="B1573" s="12">
        <v>229.8</v>
      </c>
      <c r="C1573" s="12">
        <v>81.6</v>
      </c>
      <c r="D1573" s="12">
        <v>4.7</v>
      </c>
      <c r="E1573" s="12">
        <v>0.54</v>
      </c>
      <c r="F1573" s="12">
        <v>49.9</v>
      </c>
      <c r="G1573" s="13">
        <v>44462.76149287037</v>
      </c>
      <c r="H1573" s="14">
        <f>IFERROR(__xludf.DUMMYFUNCTION("SPLIT(G1573, "", "")"),44462.0)</f>
        <v>44462</v>
      </c>
      <c r="I1573" s="15">
        <f>IFERROR(__xludf.DUMMYFUNCTION("""COMPUTED_VALUE"""),0.7614930555555556)</f>
        <v>0.7614930556</v>
      </c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</row>
    <row r="1574">
      <c r="A1574" s="12">
        <v>0.65</v>
      </c>
      <c r="B1574" s="12">
        <v>229.9</v>
      </c>
      <c r="C1574" s="12">
        <v>81.0</v>
      </c>
      <c r="D1574" s="12">
        <v>4.7</v>
      </c>
      <c r="E1574" s="12">
        <v>0.54</v>
      </c>
      <c r="F1574" s="12">
        <v>49.9</v>
      </c>
      <c r="G1574" s="13">
        <v>44462.76159825231</v>
      </c>
      <c r="H1574" s="14">
        <f>IFERROR(__xludf.DUMMYFUNCTION("SPLIT(G1574, "", "")"),44462.0)</f>
        <v>44462</v>
      </c>
      <c r="I1574" s="15">
        <f>IFERROR(__xludf.DUMMYFUNCTION("""COMPUTED_VALUE"""),0.7615972222222223)</f>
        <v>0.7615972222</v>
      </c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</row>
    <row r="1575">
      <c r="A1575" s="12">
        <v>0.65</v>
      </c>
      <c r="B1575" s="12">
        <v>230.0</v>
      </c>
      <c r="C1575" s="12">
        <v>80.3</v>
      </c>
      <c r="D1575" s="12">
        <v>4.7</v>
      </c>
      <c r="E1575" s="12">
        <v>0.54</v>
      </c>
      <c r="F1575" s="12">
        <v>50.0</v>
      </c>
      <c r="G1575" s="13">
        <v>44462.7616999537</v>
      </c>
      <c r="H1575" s="14">
        <f>IFERROR(__xludf.DUMMYFUNCTION("SPLIT(G1575, "", "")"),44462.0)</f>
        <v>44462</v>
      </c>
      <c r="I1575" s="15">
        <f>IFERROR(__xludf.DUMMYFUNCTION("""COMPUTED_VALUE"""),0.7617013888888889)</f>
        <v>0.7617013889</v>
      </c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</row>
    <row r="1576">
      <c r="A1576" s="12">
        <v>0.64</v>
      </c>
      <c r="B1576" s="12">
        <v>230.1</v>
      </c>
      <c r="C1576" s="12">
        <v>79.7</v>
      </c>
      <c r="D1576" s="12">
        <v>4.7</v>
      </c>
      <c r="E1576" s="12">
        <v>0.54</v>
      </c>
      <c r="F1576" s="12">
        <v>50.0</v>
      </c>
      <c r="G1576" s="13">
        <v>44462.76180366898</v>
      </c>
      <c r="H1576" s="14">
        <f>IFERROR(__xludf.DUMMYFUNCTION("SPLIT(G1576, "", "")"),44462.0)</f>
        <v>44462</v>
      </c>
      <c r="I1576" s="15">
        <f>IFERROR(__xludf.DUMMYFUNCTION("""COMPUTED_VALUE"""),0.7618055555555555)</f>
        <v>0.7618055556</v>
      </c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</row>
    <row r="1577">
      <c r="A1577" s="12">
        <v>0.64</v>
      </c>
      <c r="B1577" s="12">
        <v>230.1</v>
      </c>
      <c r="C1577" s="12">
        <v>79.1</v>
      </c>
      <c r="D1577" s="12">
        <v>4.7</v>
      </c>
      <c r="E1577" s="12">
        <v>0.54</v>
      </c>
      <c r="F1577" s="12">
        <v>50.0</v>
      </c>
      <c r="G1577" s="13">
        <v>44462.76190510417</v>
      </c>
      <c r="H1577" s="14">
        <f>IFERROR(__xludf.DUMMYFUNCTION("SPLIT(G1577, "", "")"),44462.0)</f>
        <v>44462</v>
      </c>
      <c r="I1577" s="15">
        <f>IFERROR(__xludf.DUMMYFUNCTION("""COMPUTED_VALUE"""),0.7619097222222222)</f>
        <v>0.7619097222</v>
      </c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</row>
    <row r="1578">
      <c r="A1578" s="12">
        <v>0.63</v>
      </c>
      <c r="B1578" s="12">
        <v>230.2</v>
      </c>
      <c r="C1578" s="12">
        <v>78.5</v>
      </c>
      <c r="D1578" s="12">
        <v>4.7</v>
      </c>
      <c r="E1578" s="12">
        <v>0.54</v>
      </c>
      <c r="F1578" s="12">
        <v>50.0</v>
      </c>
      <c r="G1578" s="13">
        <v>44462.762011342595</v>
      </c>
      <c r="H1578" s="14">
        <f>IFERROR(__xludf.DUMMYFUNCTION("SPLIT(G1578, "", "")"),44462.0)</f>
        <v>44462</v>
      </c>
      <c r="I1578" s="15">
        <f>IFERROR(__xludf.DUMMYFUNCTION("""COMPUTED_VALUE"""),0.7620138888888889)</f>
        <v>0.7620138889</v>
      </c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</row>
    <row r="1579">
      <c r="A1579" s="12">
        <v>0.63</v>
      </c>
      <c r="B1579" s="12">
        <v>230.1</v>
      </c>
      <c r="C1579" s="12">
        <v>78.0</v>
      </c>
      <c r="D1579" s="12">
        <v>4.7</v>
      </c>
      <c r="E1579" s="12">
        <v>0.54</v>
      </c>
      <c r="F1579" s="12">
        <v>50.0</v>
      </c>
      <c r="G1579" s="13">
        <v>44462.7621208912</v>
      </c>
      <c r="H1579" s="14">
        <f>IFERROR(__xludf.DUMMYFUNCTION("SPLIT(G1579, "", "")"),44462.0)</f>
        <v>44462</v>
      </c>
      <c r="I1579" s="15">
        <f>IFERROR(__xludf.DUMMYFUNCTION("""COMPUTED_VALUE"""),0.7621180555555556)</f>
        <v>0.7621180556</v>
      </c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</row>
    <row r="1580">
      <c r="A1580" s="12">
        <v>0.63</v>
      </c>
      <c r="B1580" s="12">
        <v>230.1</v>
      </c>
      <c r="C1580" s="12">
        <v>77.3</v>
      </c>
      <c r="D1580" s="12">
        <v>4.7</v>
      </c>
      <c r="E1580" s="12">
        <v>0.54</v>
      </c>
      <c r="F1580" s="12">
        <v>50.0</v>
      </c>
      <c r="G1580" s="13">
        <v>44462.76222605324</v>
      </c>
      <c r="H1580" s="14">
        <f>IFERROR(__xludf.DUMMYFUNCTION("SPLIT(G1580, "", "")"),44462.0)</f>
        <v>44462</v>
      </c>
      <c r="I1580" s="15">
        <f>IFERROR(__xludf.DUMMYFUNCTION("""COMPUTED_VALUE"""),0.7622222222222222)</f>
        <v>0.7622222222</v>
      </c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</row>
    <row r="1581">
      <c r="A1581" s="12">
        <v>0.62</v>
      </c>
      <c r="B1581" s="12">
        <v>230.1</v>
      </c>
      <c r="C1581" s="12">
        <v>76.6</v>
      </c>
      <c r="D1581" s="12">
        <v>4.7</v>
      </c>
      <c r="E1581" s="12">
        <v>0.54</v>
      </c>
      <c r="F1581" s="12">
        <v>50.0</v>
      </c>
      <c r="G1581" s="13">
        <v>44462.76232984954</v>
      </c>
      <c r="H1581" s="14">
        <f>IFERROR(__xludf.DUMMYFUNCTION("SPLIT(G1581, "", "")"),44462.0)</f>
        <v>44462</v>
      </c>
      <c r="I1581" s="15">
        <f>IFERROR(__xludf.DUMMYFUNCTION("""COMPUTED_VALUE"""),0.7623263888888889)</f>
        <v>0.7623263889</v>
      </c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</row>
    <row r="1582">
      <c r="A1582" s="12">
        <v>0.62</v>
      </c>
      <c r="B1582" s="12">
        <v>230.0</v>
      </c>
      <c r="C1582" s="12">
        <v>76.3</v>
      </c>
      <c r="D1582" s="12">
        <v>4.7</v>
      </c>
      <c r="E1582" s="12">
        <v>0.54</v>
      </c>
      <c r="F1582" s="12">
        <v>50.0</v>
      </c>
      <c r="G1582" s="13">
        <v>44462.76243283565</v>
      </c>
      <c r="H1582" s="14">
        <f>IFERROR(__xludf.DUMMYFUNCTION("SPLIT(G1582, "", "")"),44462.0)</f>
        <v>44462</v>
      </c>
      <c r="I1582" s="15">
        <f>IFERROR(__xludf.DUMMYFUNCTION("""COMPUTED_VALUE"""),0.7624305555555555)</f>
        <v>0.7624305556</v>
      </c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</row>
    <row r="1583">
      <c r="A1583" s="12">
        <v>0.61</v>
      </c>
      <c r="B1583" s="12">
        <v>230.0</v>
      </c>
      <c r="C1583" s="12">
        <v>75.6</v>
      </c>
      <c r="D1583" s="12">
        <v>4.71</v>
      </c>
      <c r="E1583" s="12">
        <v>0.54</v>
      </c>
      <c r="F1583" s="12">
        <v>50.0</v>
      </c>
      <c r="G1583" s="13">
        <v>44462.76253344907</v>
      </c>
      <c r="H1583" s="14">
        <f>IFERROR(__xludf.DUMMYFUNCTION("SPLIT(G1583, "", "")"),44462.0)</f>
        <v>44462</v>
      </c>
      <c r="I1583" s="15">
        <f>IFERROR(__xludf.DUMMYFUNCTION("""COMPUTED_VALUE"""),0.7625347222222222)</f>
        <v>0.7625347222</v>
      </c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</row>
    <row r="1584">
      <c r="A1584" s="12">
        <v>0.61</v>
      </c>
      <c r="B1584" s="12">
        <v>230.0</v>
      </c>
      <c r="C1584" s="12">
        <v>75.1</v>
      </c>
      <c r="D1584" s="12">
        <v>4.71</v>
      </c>
      <c r="E1584" s="12">
        <v>0.54</v>
      </c>
      <c r="F1584" s="12">
        <v>49.9</v>
      </c>
      <c r="G1584" s="13">
        <v>44462.762633900464</v>
      </c>
      <c r="H1584" s="14">
        <f>IFERROR(__xludf.DUMMYFUNCTION("SPLIT(G1584, "", "")"),44462.0)</f>
        <v>44462</v>
      </c>
      <c r="I1584" s="15">
        <f>IFERROR(__xludf.DUMMYFUNCTION("""COMPUTED_VALUE"""),0.7626388888888889)</f>
        <v>0.7626388889</v>
      </c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</row>
    <row r="1585">
      <c r="A1585" s="12">
        <v>0.61</v>
      </c>
      <c r="B1585" s="12">
        <v>229.9</v>
      </c>
      <c r="C1585" s="12">
        <v>74.6</v>
      </c>
      <c r="D1585" s="12">
        <v>4.71</v>
      </c>
      <c r="E1585" s="12">
        <v>0.53</v>
      </c>
      <c r="F1585" s="12">
        <v>49.9</v>
      </c>
      <c r="G1585" s="13">
        <v>44462.76273650463</v>
      </c>
      <c r="H1585" s="14">
        <f>IFERROR(__xludf.DUMMYFUNCTION("SPLIT(G1585, "", "")"),44462.0)</f>
        <v>44462</v>
      </c>
      <c r="I1585" s="15">
        <f>IFERROR(__xludf.DUMMYFUNCTION("""COMPUTED_VALUE"""),0.7627314814814815)</f>
        <v>0.7627314815</v>
      </c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</row>
    <row r="1586">
      <c r="A1586" s="12">
        <v>0.6</v>
      </c>
      <c r="B1586" s="12">
        <v>229.7</v>
      </c>
      <c r="C1586" s="12">
        <v>74.2</v>
      </c>
      <c r="D1586" s="12">
        <v>4.71</v>
      </c>
      <c r="E1586" s="12">
        <v>0.53</v>
      </c>
      <c r="F1586" s="12">
        <v>50.0</v>
      </c>
      <c r="G1586" s="13">
        <v>44462.7628359838</v>
      </c>
      <c r="H1586" s="14">
        <f>IFERROR(__xludf.DUMMYFUNCTION("SPLIT(G1586, "", "")"),44462.0)</f>
        <v>44462</v>
      </c>
      <c r="I1586" s="15">
        <f>IFERROR(__xludf.DUMMYFUNCTION("""COMPUTED_VALUE"""),0.7628356481481482)</f>
        <v>0.7628356481</v>
      </c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</row>
    <row r="1587">
      <c r="A1587" s="12">
        <v>0.6</v>
      </c>
      <c r="B1587" s="12">
        <v>229.8</v>
      </c>
      <c r="C1587" s="12">
        <v>73.6</v>
      </c>
      <c r="D1587" s="12">
        <v>4.71</v>
      </c>
      <c r="E1587" s="12">
        <v>0.54</v>
      </c>
      <c r="F1587" s="12">
        <v>49.9</v>
      </c>
      <c r="G1587" s="13">
        <v>44462.76293997685</v>
      </c>
      <c r="H1587" s="14">
        <f>IFERROR(__xludf.DUMMYFUNCTION("SPLIT(G1587, "", "")"),44462.0)</f>
        <v>44462</v>
      </c>
      <c r="I1587" s="15">
        <f>IFERROR(__xludf.DUMMYFUNCTION("""COMPUTED_VALUE"""),0.7629398148148148)</f>
        <v>0.7629398148</v>
      </c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</row>
    <row r="1588">
      <c r="A1588" s="12">
        <v>0.59</v>
      </c>
      <c r="B1588" s="12">
        <v>229.8</v>
      </c>
      <c r="C1588" s="12">
        <v>73.0</v>
      </c>
      <c r="D1588" s="12">
        <v>4.71</v>
      </c>
      <c r="E1588" s="12">
        <v>0.54</v>
      </c>
      <c r="F1588" s="12">
        <v>50.0</v>
      </c>
      <c r="G1588" s="13">
        <v>44462.763048368055</v>
      </c>
      <c r="H1588" s="14">
        <f>IFERROR(__xludf.DUMMYFUNCTION("SPLIT(G1588, "", "")"),44462.0)</f>
        <v>44462</v>
      </c>
      <c r="I1588" s="15">
        <f>IFERROR(__xludf.DUMMYFUNCTION("""COMPUTED_VALUE"""),0.7630439814814814)</f>
        <v>0.7630439815</v>
      </c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</row>
    <row r="1589">
      <c r="A1589" s="12">
        <v>0.59</v>
      </c>
      <c r="B1589" s="12">
        <v>229.8</v>
      </c>
      <c r="C1589" s="12">
        <v>72.4</v>
      </c>
      <c r="D1589" s="12">
        <v>4.71</v>
      </c>
      <c r="E1589" s="12">
        <v>0.54</v>
      </c>
      <c r="F1589" s="12">
        <v>50.0</v>
      </c>
      <c r="G1589" s="13">
        <v>44462.76315461806</v>
      </c>
      <c r="H1589" s="14">
        <f>IFERROR(__xludf.DUMMYFUNCTION("SPLIT(G1589, "", "")"),44462.0)</f>
        <v>44462</v>
      </c>
      <c r="I1589" s="15">
        <f>IFERROR(__xludf.DUMMYFUNCTION("""COMPUTED_VALUE"""),0.7631597222222222)</f>
        <v>0.7631597222</v>
      </c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</row>
    <row r="1590">
      <c r="A1590" s="12">
        <v>0.58</v>
      </c>
      <c r="B1590" s="12">
        <v>229.9</v>
      </c>
      <c r="C1590" s="12">
        <v>71.9</v>
      </c>
      <c r="D1590" s="12">
        <v>4.71</v>
      </c>
      <c r="E1590" s="12">
        <v>0.54</v>
      </c>
      <c r="F1590" s="12">
        <v>50.0</v>
      </c>
      <c r="G1590" s="13">
        <v>44462.76326040509</v>
      </c>
      <c r="H1590" s="14">
        <f>IFERROR(__xludf.DUMMYFUNCTION("SPLIT(G1590, "", "")"),44462.0)</f>
        <v>44462</v>
      </c>
      <c r="I1590" s="15">
        <f>IFERROR(__xludf.DUMMYFUNCTION("""COMPUTED_VALUE"""),0.7632638888888889)</f>
        <v>0.7632638889</v>
      </c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</row>
    <row r="1591">
      <c r="A1591" s="12">
        <v>0.58</v>
      </c>
      <c r="B1591" s="12">
        <v>229.7</v>
      </c>
      <c r="C1591" s="12">
        <v>71.3</v>
      </c>
      <c r="D1591" s="12">
        <v>4.71</v>
      </c>
      <c r="E1591" s="12">
        <v>0.53</v>
      </c>
      <c r="F1591" s="12">
        <v>50.0</v>
      </c>
      <c r="G1591" s="13">
        <v>44462.763369884255</v>
      </c>
      <c r="H1591" s="14">
        <f>IFERROR(__xludf.DUMMYFUNCTION("SPLIT(G1591, "", "")"),44462.0)</f>
        <v>44462</v>
      </c>
      <c r="I1591" s="15">
        <f>IFERROR(__xludf.DUMMYFUNCTION("""COMPUTED_VALUE"""),0.7633680555555555)</f>
        <v>0.7633680556</v>
      </c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</row>
    <row r="1592">
      <c r="A1592" s="12">
        <v>0.58</v>
      </c>
      <c r="B1592" s="12">
        <v>229.5</v>
      </c>
      <c r="C1592" s="12">
        <v>70.6</v>
      </c>
      <c r="D1592" s="12">
        <v>4.71</v>
      </c>
      <c r="E1592" s="12">
        <v>0.53</v>
      </c>
      <c r="F1592" s="12">
        <v>50.0</v>
      </c>
      <c r="G1592" s="13">
        <v>44462.763477754634</v>
      </c>
      <c r="H1592" s="14">
        <f>IFERROR(__xludf.DUMMYFUNCTION("SPLIT(G1592, "", "")"),44462.0)</f>
        <v>44462</v>
      </c>
      <c r="I1592" s="15">
        <f>IFERROR(__xludf.DUMMYFUNCTION("""COMPUTED_VALUE"""),0.7634722222222222)</f>
        <v>0.7634722222</v>
      </c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</row>
    <row r="1593">
      <c r="A1593" s="12">
        <v>0.58</v>
      </c>
      <c r="B1593" s="12">
        <v>229.6</v>
      </c>
      <c r="C1593" s="12">
        <v>70.3</v>
      </c>
      <c r="D1593" s="12">
        <v>4.71</v>
      </c>
      <c r="E1593" s="12">
        <v>0.53</v>
      </c>
      <c r="F1593" s="12">
        <v>50.0</v>
      </c>
      <c r="G1593" s="13">
        <v>44462.763583796295</v>
      </c>
      <c r="H1593" s="14">
        <f>IFERROR(__xludf.DUMMYFUNCTION("SPLIT(G1593, "", "")"),44462.0)</f>
        <v>44462</v>
      </c>
      <c r="I1593" s="15">
        <f>IFERROR(__xludf.DUMMYFUNCTION("""COMPUTED_VALUE"""),0.7635879629629629)</f>
        <v>0.763587963</v>
      </c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</row>
    <row r="1594">
      <c r="A1594" s="12">
        <v>0.57</v>
      </c>
      <c r="B1594" s="12">
        <v>229.7</v>
      </c>
      <c r="C1594" s="12">
        <v>69.6</v>
      </c>
      <c r="D1594" s="12">
        <v>4.71</v>
      </c>
      <c r="E1594" s="12">
        <v>0.53</v>
      </c>
      <c r="F1594" s="12">
        <v>50.0</v>
      </c>
      <c r="G1594" s="13">
        <v>44462.763700208336</v>
      </c>
      <c r="H1594" s="14">
        <f>IFERROR(__xludf.DUMMYFUNCTION("SPLIT(G1594, "", "")"),44462.0)</f>
        <v>44462</v>
      </c>
      <c r="I1594" s="15">
        <f>IFERROR(__xludf.DUMMYFUNCTION("""COMPUTED_VALUE"""),0.7637037037037037)</f>
        <v>0.7637037037</v>
      </c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</row>
    <row r="1595">
      <c r="A1595" s="12">
        <v>0.57</v>
      </c>
      <c r="B1595" s="12">
        <v>229.7</v>
      </c>
      <c r="C1595" s="12">
        <v>69.2</v>
      </c>
      <c r="D1595" s="12">
        <v>4.71</v>
      </c>
      <c r="E1595" s="12">
        <v>0.53</v>
      </c>
      <c r="F1595" s="12">
        <v>50.0</v>
      </c>
      <c r="G1595" s="13">
        <v>44462.76380821759</v>
      </c>
      <c r="H1595" s="14">
        <f>IFERROR(__xludf.DUMMYFUNCTION("SPLIT(G1595, "", "")"),44462.0)</f>
        <v>44462</v>
      </c>
      <c r="I1595" s="15">
        <f>IFERROR(__xludf.DUMMYFUNCTION("""COMPUTED_VALUE"""),0.7638078703703703)</f>
        <v>0.7638078704</v>
      </c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</row>
    <row r="1596">
      <c r="A1596" s="12">
        <v>0.56</v>
      </c>
      <c r="B1596" s="12">
        <v>229.7</v>
      </c>
      <c r="C1596" s="12">
        <v>68.7</v>
      </c>
      <c r="D1596" s="12">
        <v>4.71</v>
      </c>
      <c r="E1596" s="12">
        <v>0.53</v>
      </c>
      <c r="F1596" s="12">
        <v>50.0</v>
      </c>
      <c r="G1596" s="13">
        <v>44462.7639147338</v>
      </c>
      <c r="H1596" s="14">
        <f>IFERROR(__xludf.DUMMYFUNCTION("SPLIT(G1596, "", "")"),44462.0)</f>
        <v>44462</v>
      </c>
      <c r="I1596" s="15">
        <f>IFERROR(__xludf.DUMMYFUNCTION("""COMPUTED_VALUE"""),0.763912037037037)</f>
        <v>0.763912037</v>
      </c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</row>
    <row r="1597">
      <c r="A1597" s="12">
        <v>0.56</v>
      </c>
      <c r="B1597" s="12">
        <v>229.5</v>
      </c>
      <c r="C1597" s="12">
        <v>68.2</v>
      </c>
      <c r="D1597" s="12">
        <v>4.71</v>
      </c>
      <c r="E1597" s="12">
        <v>0.53</v>
      </c>
      <c r="F1597" s="12">
        <v>50.0</v>
      </c>
      <c r="G1597" s="13">
        <v>44462.76401546296</v>
      </c>
      <c r="H1597" s="14">
        <f>IFERROR(__xludf.DUMMYFUNCTION("SPLIT(G1597, "", "")"),44462.0)</f>
        <v>44462</v>
      </c>
      <c r="I1597" s="15">
        <f>IFERROR(__xludf.DUMMYFUNCTION("""COMPUTED_VALUE"""),0.7640162037037037)</f>
        <v>0.7640162037</v>
      </c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</row>
    <row r="1598">
      <c r="A1598" s="12">
        <v>0.56</v>
      </c>
      <c r="B1598" s="12">
        <v>229.6</v>
      </c>
      <c r="C1598" s="12">
        <v>67.7</v>
      </c>
      <c r="D1598" s="12">
        <v>4.71</v>
      </c>
      <c r="E1598" s="12">
        <v>0.53</v>
      </c>
      <c r="F1598" s="12">
        <v>50.0</v>
      </c>
      <c r="G1598" s="13">
        <v>44462.76411921297</v>
      </c>
      <c r="H1598" s="14">
        <f>IFERROR(__xludf.DUMMYFUNCTION("SPLIT(G1598, "", "")"),44462.0)</f>
        <v>44462</v>
      </c>
      <c r="I1598" s="15">
        <f>IFERROR(__xludf.DUMMYFUNCTION("""COMPUTED_VALUE"""),0.7641203703703704)</f>
        <v>0.7641203704</v>
      </c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</row>
    <row r="1599">
      <c r="A1599" s="12">
        <v>0.55</v>
      </c>
      <c r="B1599" s="12">
        <v>229.5</v>
      </c>
      <c r="C1599" s="12">
        <v>67.2</v>
      </c>
      <c r="D1599" s="12">
        <v>4.71</v>
      </c>
      <c r="E1599" s="12">
        <v>0.53</v>
      </c>
      <c r="F1599" s="12">
        <v>49.9</v>
      </c>
      <c r="G1599" s="13">
        <v>44462.76422483796</v>
      </c>
      <c r="H1599" s="14">
        <f>IFERROR(__xludf.DUMMYFUNCTION("SPLIT(G1599, "", "")"),44462.0)</f>
        <v>44462</v>
      </c>
      <c r="I1599" s="15">
        <f>IFERROR(__xludf.DUMMYFUNCTION("""COMPUTED_VALUE"""),0.7642245370370371)</f>
        <v>0.764224537</v>
      </c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</row>
    <row r="1600">
      <c r="A1600" s="12">
        <v>0.55</v>
      </c>
      <c r="B1600" s="12">
        <v>229.6</v>
      </c>
      <c r="C1600" s="12">
        <v>66.7</v>
      </c>
      <c r="D1600" s="12">
        <v>4.71</v>
      </c>
      <c r="E1600" s="12">
        <v>0.53</v>
      </c>
      <c r="F1600" s="12">
        <v>49.9</v>
      </c>
      <c r="G1600" s="13">
        <v>44462.764330624996</v>
      </c>
      <c r="H1600" s="14">
        <f>IFERROR(__xludf.DUMMYFUNCTION("SPLIT(G1600, "", "")"),44462.0)</f>
        <v>44462</v>
      </c>
      <c r="I1600" s="15">
        <f>IFERROR(__xludf.DUMMYFUNCTION("""COMPUTED_VALUE"""),0.7643287037037036)</f>
        <v>0.7643287037</v>
      </c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</row>
    <row r="1601">
      <c r="A1601" s="12">
        <v>0.54</v>
      </c>
      <c r="B1601" s="12">
        <v>229.6</v>
      </c>
      <c r="C1601" s="12">
        <v>66.2</v>
      </c>
      <c r="D1601" s="12">
        <v>4.71</v>
      </c>
      <c r="E1601" s="12">
        <v>0.53</v>
      </c>
      <c r="F1601" s="12">
        <v>49.9</v>
      </c>
      <c r="G1601" s="13">
        <v>44462.764430717594</v>
      </c>
      <c r="H1601" s="14">
        <f>IFERROR(__xludf.DUMMYFUNCTION("SPLIT(G1601, "", "")"),44462.0)</f>
        <v>44462</v>
      </c>
      <c r="I1601" s="15">
        <f>IFERROR(__xludf.DUMMYFUNCTION("""COMPUTED_VALUE"""),0.7644328703703703)</f>
        <v>0.7644328704</v>
      </c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</row>
    <row r="1602">
      <c r="A1602" s="12">
        <v>0.54</v>
      </c>
      <c r="B1602" s="12">
        <v>229.6</v>
      </c>
      <c r="C1602" s="12">
        <v>65.8</v>
      </c>
      <c r="D1602" s="12">
        <v>4.71</v>
      </c>
      <c r="E1602" s="12">
        <v>0.53</v>
      </c>
      <c r="F1602" s="12">
        <v>49.9</v>
      </c>
      <c r="G1602" s="13">
        <v>44462.764535486116</v>
      </c>
      <c r="H1602" s="14">
        <f>IFERROR(__xludf.DUMMYFUNCTION("SPLIT(G1602, "", "")"),44462.0)</f>
        <v>44462</v>
      </c>
      <c r="I1602" s="15">
        <f>IFERROR(__xludf.DUMMYFUNCTION("""COMPUTED_VALUE"""),0.764537037037037)</f>
        <v>0.764537037</v>
      </c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</row>
    <row r="1603">
      <c r="A1603" s="12">
        <v>0.54</v>
      </c>
      <c r="B1603" s="12">
        <v>229.4</v>
      </c>
      <c r="C1603" s="12">
        <v>65.2</v>
      </c>
      <c r="D1603" s="12">
        <v>4.71</v>
      </c>
      <c r="E1603" s="12">
        <v>0.53</v>
      </c>
      <c r="F1603" s="12">
        <v>50.0</v>
      </c>
      <c r="G1603" s="13">
        <v>44462.76464303241</v>
      </c>
      <c r="H1603" s="14">
        <f>IFERROR(__xludf.DUMMYFUNCTION("SPLIT(G1603, "", "")"),44462.0)</f>
        <v>44462</v>
      </c>
      <c r="I1603" s="15">
        <f>IFERROR(__xludf.DUMMYFUNCTION("""COMPUTED_VALUE"""),0.7646412037037037)</f>
        <v>0.7646412037</v>
      </c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</row>
    <row r="1604">
      <c r="A1604" s="12">
        <v>0.54</v>
      </c>
      <c r="B1604" s="12">
        <v>229.4</v>
      </c>
      <c r="C1604" s="12">
        <v>64.7</v>
      </c>
      <c r="D1604" s="12">
        <v>4.71</v>
      </c>
      <c r="E1604" s="12">
        <v>0.53</v>
      </c>
      <c r="F1604" s="12">
        <v>50.0</v>
      </c>
      <c r="G1604" s="13">
        <v>44462.76475210648</v>
      </c>
      <c r="H1604" s="14">
        <f>IFERROR(__xludf.DUMMYFUNCTION("SPLIT(G1604, "", "")"),44462.0)</f>
        <v>44462</v>
      </c>
      <c r="I1604" s="15">
        <f>IFERROR(__xludf.DUMMYFUNCTION("""COMPUTED_VALUE"""),0.7647569444444444)</f>
        <v>0.7647569444</v>
      </c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</row>
    <row r="1605">
      <c r="A1605" s="12">
        <v>0.53</v>
      </c>
      <c r="B1605" s="12">
        <v>229.4</v>
      </c>
      <c r="C1605" s="12">
        <v>64.3</v>
      </c>
      <c r="D1605" s="12">
        <v>4.71</v>
      </c>
      <c r="E1605" s="12">
        <v>0.53</v>
      </c>
      <c r="F1605" s="12">
        <v>50.0</v>
      </c>
      <c r="G1605" s="13">
        <v>44462.76485363426</v>
      </c>
      <c r="H1605" s="14">
        <f>IFERROR(__xludf.DUMMYFUNCTION("SPLIT(G1605, "", "")"),44462.0)</f>
        <v>44462</v>
      </c>
      <c r="I1605" s="15">
        <f>IFERROR(__xludf.DUMMYFUNCTION("""COMPUTED_VALUE"""),0.7648495370370371)</f>
        <v>0.764849537</v>
      </c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</row>
    <row r="1606">
      <c r="A1606" s="12">
        <v>0.53</v>
      </c>
      <c r="B1606" s="12">
        <v>229.2</v>
      </c>
      <c r="C1606" s="12">
        <v>63.8</v>
      </c>
      <c r="D1606" s="12">
        <v>4.71</v>
      </c>
      <c r="E1606" s="12">
        <v>0.53</v>
      </c>
      <c r="F1606" s="12">
        <v>49.9</v>
      </c>
      <c r="G1606" s="13">
        <v>44462.76496053241</v>
      </c>
      <c r="H1606" s="14">
        <f>IFERROR(__xludf.DUMMYFUNCTION("SPLIT(G1606, "", "")"),44462.0)</f>
        <v>44462</v>
      </c>
      <c r="I1606" s="15">
        <f>IFERROR(__xludf.DUMMYFUNCTION("""COMPUTED_VALUE"""),0.7649652777777778)</f>
        <v>0.7649652778</v>
      </c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</row>
    <row r="1607">
      <c r="A1607" s="12">
        <v>0.53</v>
      </c>
      <c r="B1607" s="12">
        <v>229.1</v>
      </c>
      <c r="C1607" s="12">
        <v>63.2</v>
      </c>
      <c r="D1607" s="12">
        <v>4.71</v>
      </c>
      <c r="E1607" s="12">
        <v>0.52</v>
      </c>
      <c r="F1607" s="12">
        <v>49.9</v>
      </c>
      <c r="G1607" s="13">
        <v>44462.76506954861</v>
      </c>
      <c r="H1607" s="14">
        <f>IFERROR(__xludf.DUMMYFUNCTION("SPLIT(G1607, "", "")"),44462.0)</f>
        <v>44462</v>
      </c>
      <c r="I1607" s="15">
        <f>IFERROR(__xludf.DUMMYFUNCTION("""COMPUTED_VALUE"""),0.7650694444444445)</f>
        <v>0.7650694444</v>
      </c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</row>
    <row r="1608">
      <c r="A1608" s="12">
        <v>0.52</v>
      </c>
      <c r="B1608" s="12">
        <v>229.2</v>
      </c>
      <c r="C1608" s="12">
        <v>62.8</v>
      </c>
      <c r="D1608" s="12">
        <v>4.71</v>
      </c>
      <c r="E1608" s="12">
        <v>0.52</v>
      </c>
      <c r="F1608" s="12">
        <v>49.9</v>
      </c>
      <c r="G1608" s="13">
        <v>44462.76517269676</v>
      </c>
      <c r="H1608" s="14">
        <f>IFERROR(__xludf.DUMMYFUNCTION("SPLIT(G1608, "", "")"),44462.0)</f>
        <v>44462</v>
      </c>
      <c r="I1608" s="15">
        <f>IFERROR(__xludf.DUMMYFUNCTION("""COMPUTED_VALUE"""),0.7651736111111112)</f>
        <v>0.7651736111</v>
      </c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</row>
    <row r="1609">
      <c r="A1609" s="12">
        <v>0.5</v>
      </c>
      <c r="B1609" s="12">
        <v>229.3</v>
      </c>
      <c r="C1609" s="12">
        <v>60.1</v>
      </c>
      <c r="D1609" s="12">
        <v>4.71</v>
      </c>
      <c r="E1609" s="12">
        <v>0.52</v>
      </c>
      <c r="F1609" s="12">
        <v>49.9</v>
      </c>
      <c r="G1609" s="13">
        <v>44462.76527267361</v>
      </c>
      <c r="H1609" s="14">
        <f>IFERROR(__xludf.DUMMYFUNCTION("SPLIT(G1609, "", "")"),44462.0)</f>
        <v>44462</v>
      </c>
      <c r="I1609" s="15">
        <f>IFERROR(__xludf.DUMMYFUNCTION("""COMPUTED_VALUE"""),0.7652777777777777)</f>
        <v>0.7652777778</v>
      </c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</row>
    <row r="1610">
      <c r="A1610" s="12">
        <v>0.5</v>
      </c>
      <c r="B1610" s="12">
        <v>229.4</v>
      </c>
      <c r="C1610" s="12">
        <v>60.0</v>
      </c>
      <c r="D1610" s="12">
        <v>4.71</v>
      </c>
      <c r="E1610" s="12">
        <v>0.52</v>
      </c>
      <c r="F1610" s="12">
        <v>49.9</v>
      </c>
      <c r="G1610" s="13">
        <v>44462.76537488426</v>
      </c>
      <c r="H1610" s="14">
        <f>IFERROR(__xludf.DUMMYFUNCTION("SPLIT(G1610, "", "")"),44462.0)</f>
        <v>44462</v>
      </c>
      <c r="I1610" s="15">
        <f>IFERROR(__xludf.DUMMYFUNCTION("""COMPUTED_VALUE"""),0.7653703703703704)</f>
        <v>0.7653703704</v>
      </c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</row>
    <row r="1611">
      <c r="A1611" s="12">
        <v>0.5</v>
      </c>
      <c r="B1611" s="12">
        <v>229.4</v>
      </c>
      <c r="C1611" s="12">
        <v>60.0</v>
      </c>
      <c r="D1611" s="12">
        <v>4.71</v>
      </c>
      <c r="E1611" s="12">
        <v>0.52</v>
      </c>
      <c r="F1611" s="12">
        <v>50.0</v>
      </c>
      <c r="G1611" s="13">
        <v>44462.76547962963</v>
      </c>
      <c r="H1611" s="14">
        <f>IFERROR(__xludf.DUMMYFUNCTION("SPLIT(G1611, "", "")"),44462.0)</f>
        <v>44462</v>
      </c>
      <c r="I1611" s="15">
        <f>IFERROR(__xludf.DUMMYFUNCTION("""COMPUTED_VALUE"""),0.765474537037037)</f>
        <v>0.765474537</v>
      </c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</row>
    <row r="1612">
      <c r="A1612" s="12">
        <v>0.5</v>
      </c>
      <c r="B1612" s="12">
        <v>229.6</v>
      </c>
      <c r="C1612" s="12">
        <v>60.1</v>
      </c>
      <c r="D1612" s="12">
        <v>4.71</v>
      </c>
      <c r="E1612" s="12">
        <v>0.52</v>
      </c>
      <c r="F1612" s="12">
        <v>50.0</v>
      </c>
      <c r="G1612" s="13">
        <v>44462.76558773148</v>
      </c>
      <c r="H1612" s="14">
        <f>IFERROR(__xludf.DUMMYFUNCTION("SPLIT(G1612, "", "")"),44462.0)</f>
        <v>44462</v>
      </c>
      <c r="I1612" s="15">
        <f>IFERROR(__xludf.DUMMYFUNCTION("""COMPUTED_VALUE"""),0.7655902777777778)</f>
        <v>0.7655902778</v>
      </c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</row>
    <row r="1613">
      <c r="A1613" s="12">
        <v>0.5</v>
      </c>
      <c r="B1613" s="12">
        <v>229.5</v>
      </c>
      <c r="C1613" s="12">
        <v>60.1</v>
      </c>
      <c r="D1613" s="12">
        <v>4.71</v>
      </c>
      <c r="E1613" s="12">
        <v>0.52</v>
      </c>
      <c r="F1613" s="12">
        <v>50.0</v>
      </c>
      <c r="G1613" s="13">
        <v>44462.76568898148</v>
      </c>
      <c r="H1613" s="14">
        <f>IFERROR(__xludf.DUMMYFUNCTION("SPLIT(G1613, "", "")"),44462.0)</f>
        <v>44462</v>
      </c>
      <c r="I1613" s="15">
        <f>IFERROR(__xludf.DUMMYFUNCTION("""COMPUTED_VALUE"""),0.7656944444444445)</f>
        <v>0.7656944444</v>
      </c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</row>
    <row r="1614">
      <c r="A1614" s="12">
        <v>0.5</v>
      </c>
      <c r="B1614" s="12">
        <v>229.6</v>
      </c>
      <c r="C1614" s="12">
        <v>60.1</v>
      </c>
      <c r="D1614" s="12">
        <v>4.71</v>
      </c>
      <c r="E1614" s="12">
        <v>0.52</v>
      </c>
      <c r="F1614" s="12">
        <v>50.0</v>
      </c>
      <c r="G1614" s="13">
        <v>44462.765792025464</v>
      </c>
      <c r="H1614" s="14">
        <f>IFERROR(__xludf.DUMMYFUNCTION("SPLIT(G1614, "", "")"),44462.0)</f>
        <v>44462</v>
      </c>
      <c r="I1614" s="15">
        <f>IFERROR(__xludf.DUMMYFUNCTION("""COMPUTED_VALUE"""),0.765787037037037)</f>
        <v>0.765787037</v>
      </c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</row>
    <row r="1615">
      <c r="A1615" s="12">
        <v>0.51</v>
      </c>
      <c r="B1615" s="12">
        <v>229.6</v>
      </c>
      <c r="C1615" s="12">
        <v>60.2</v>
      </c>
      <c r="D1615" s="12">
        <v>4.71</v>
      </c>
      <c r="E1615" s="12">
        <v>0.52</v>
      </c>
      <c r="F1615" s="12">
        <v>50.0</v>
      </c>
      <c r="G1615" s="13">
        <v>44462.76589744213</v>
      </c>
      <c r="H1615" s="14">
        <f>IFERROR(__xludf.DUMMYFUNCTION("SPLIT(G1615, "", "")"),44462.0)</f>
        <v>44462</v>
      </c>
      <c r="I1615" s="15">
        <f>IFERROR(__xludf.DUMMYFUNCTION("""COMPUTED_VALUE"""),0.7659027777777778)</f>
        <v>0.7659027778</v>
      </c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</row>
    <row r="1616">
      <c r="A1616" s="12">
        <v>0.51</v>
      </c>
      <c r="B1616" s="12">
        <v>229.6</v>
      </c>
      <c r="C1616" s="12">
        <v>60.4</v>
      </c>
      <c r="D1616" s="12">
        <v>4.71</v>
      </c>
      <c r="E1616" s="12">
        <v>0.52</v>
      </c>
      <c r="F1616" s="12">
        <v>50.0</v>
      </c>
      <c r="G1616" s="13">
        <v>44462.765999525465</v>
      </c>
      <c r="H1616" s="14">
        <f>IFERROR(__xludf.DUMMYFUNCTION("SPLIT(G1616, "", "")"),44462.0)</f>
        <v>44462</v>
      </c>
      <c r="I1616" s="15">
        <f>IFERROR(__xludf.DUMMYFUNCTION("""COMPUTED_VALUE"""),0.7659953703703704)</f>
        <v>0.7659953704</v>
      </c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</row>
    <row r="1617">
      <c r="A1617" s="12">
        <v>0.51</v>
      </c>
      <c r="B1617" s="12">
        <v>229.5</v>
      </c>
      <c r="C1617" s="12">
        <v>60.3</v>
      </c>
      <c r="D1617" s="12">
        <v>4.71</v>
      </c>
      <c r="E1617" s="12">
        <v>0.52</v>
      </c>
      <c r="F1617" s="12">
        <v>50.0</v>
      </c>
      <c r="G1617" s="13">
        <v>44462.766100381945</v>
      </c>
      <c r="H1617" s="14">
        <f>IFERROR(__xludf.DUMMYFUNCTION("SPLIT(G1617, "", "")"),44462.0)</f>
        <v>44462</v>
      </c>
      <c r="I1617" s="15">
        <f>IFERROR(__xludf.DUMMYFUNCTION("""COMPUTED_VALUE"""),0.766099537037037)</f>
        <v>0.766099537</v>
      </c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</row>
    <row r="1618">
      <c r="A1618" s="12">
        <v>0.51</v>
      </c>
      <c r="B1618" s="12">
        <v>229.5</v>
      </c>
      <c r="C1618" s="12">
        <v>60.6</v>
      </c>
      <c r="D1618" s="12">
        <v>4.71</v>
      </c>
      <c r="E1618" s="12">
        <v>0.52</v>
      </c>
      <c r="F1618" s="12">
        <v>50.0</v>
      </c>
      <c r="G1618" s="13">
        <v>44462.766200949074</v>
      </c>
      <c r="H1618" s="14">
        <f>IFERROR(__xludf.DUMMYFUNCTION("SPLIT(G1618, "", "")"),44462.0)</f>
        <v>44462</v>
      </c>
      <c r="I1618" s="15">
        <f>IFERROR(__xludf.DUMMYFUNCTION("""COMPUTED_VALUE"""),0.7662037037037037)</f>
        <v>0.7662037037</v>
      </c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</row>
    <row r="1619">
      <c r="A1619" s="12">
        <v>0.51</v>
      </c>
      <c r="B1619" s="12">
        <v>229.4</v>
      </c>
      <c r="C1619" s="12">
        <v>60.5</v>
      </c>
      <c r="D1619" s="12">
        <v>4.71</v>
      </c>
      <c r="E1619" s="12">
        <v>0.52</v>
      </c>
      <c r="F1619" s="12">
        <v>49.9</v>
      </c>
      <c r="G1619" s="13">
        <v>44462.76630412037</v>
      </c>
      <c r="H1619" s="14">
        <f>IFERROR(__xludf.DUMMYFUNCTION("SPLIT(G1619, "", "")"),44462.0)</f>
        <v>44462</v>
      </c>
      <c r="I1619" s="15">
        <f>IFERROR(__xludf.DUMMYFUNCTION("""COMPUTED_VALUE"""),0.7663078703703704)</f>
        <v>0.7663078704</v>
      </c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</row>
    <row r="1620">
      <c r="A1620" s="12">
        <v>0.51</v>
      </c>
      <c r="B1620" s="12">
        <v>229.6</v>
      </c>
      <c r="C1620" s="12">
        <v>60.7</v>
      </c>
      <c r="D1620" s="12">
        <v>4.71</v>
      </c>
      <c r="E1620" s="12">
        <v>0.52</v>
      </c>
      <c r="F1620" s="12">
        <v>49.9</v>
      </c>
      <c r="G1620" s="13">
        <v>44462.766413634265</v>
      </c>
      <c r="H1620" s="14">
        <f>IFERROR(__xludf.DUMMYFUNCTION("SPLIT(G1620, "", "")"),44462.0)</f>
        <v>44462</v>
      </c>
      <c r="I1620" s="15">
        <f>IFERROR(__xludf.DUMMYFUNCTION("""COMPUTED_VALUE"""),0.7664120370370371)</f>
        <v>0.766412037</v>
      </c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</row>
    <row r="1621">
      <c r="A1621" s="12">
        <v>0.51</v>
      </c>
      <c r="B1621" s="12">
        <v>229.5</v>
      </c>
      <c r="C1621" s="12">
        <v>60.6</v>
      </c>
      <c r="D1621" s="12">
        <v>4.71</v>
      </c>
      <c r="E1621" s="12">
        <v>0.52</v>
      </c>
      <c r="F1621" s="12">
        <v>49.9</v>
      </c>
      <c r="G1621" s="13">
        <v>44462.76652135416</v>
      </c>
      <c r="H1621" s="14">
        <f>IFERROR(__xludf.DUMMYFUNCTION("SPLIT(G1621, "", "")"),44462.0)</f>
        <v>44462</v>
      </c>
      <c r="I1621" s="15">
        <f>IFERROR(__xludf.DUMMYFUNCTION("""COMPUTED_VALUE"""),0.7665162037037037)</f>
        <v>0.7665162037</v>
      </c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</row>
    <row r="1622">
      <c r="A1622" s="12">
        <v>0.51</v>
      </c>
      <c r="B1622" s="12">
        <v>229.5</v>
      </c>
      <c r="C1622" s="12">
        <v>60.6</v>
      </c>
      <c r="D1622" s="12">
        <v>4.71</v>
      </c>
      <c r="E1622" s="12">
        <v>0.52</v>
      </c>
      <c r="F1622" s="12">
        <v>49.9</v>
      </c>
      <c r="G1622" s="13">
        <v>44462.76662299769</v>
      </c>
      <c r="H1622" s="14">
        <f>IFERROR(__xludf.DUMMYFUNCTION("SPLIT(G1622, "", "")"),44462.0)</f>
        <v>44462</v>
      </c>
      <c r="I1622" s="15">
        <f>IFERROR(__xludf.DUMMYFUNCTION("""COMPUTED_VALUE"""),0.7666203703703703)</f>
        <v>0.7666203704</v>
      </c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</row>
    <row r="1623">
      <c r="A1623" s="12">
        <v>0.51</v>
      </c>
      <c r="B1623" s="12">
        <v>229.7</v>
      </c>
      <c r="C1623" s="12">
        <v>60.6</v>
      </c>
      <c r="D1623" s="12">
        <v>4.71</v>
      </c>
      <c r="E1623" s="12">
        <v>0.52</v>
      </c>
      <c r="F1623" s="12">
        <v>49.9</v>
      </c>
      <c r="G1623" s="13">
        <v>44462.7667265162</v>
      </c>
      <c r="H1623" s="14">
        <f>IFERROR(__xludf.DUMMYFUNCTION("SPLIT(G1623, "", "")"),44462.0)</f>
        <v>44462</v>
      </c>
      <c r="I1623" s="15">
        <f>IFERROR(__xludf.DUMMYFUNCTION("""COMPUTED_VALUE"""),0.766724537037037)</f>
        <v>0.766724537</v>
      </c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</row>
    <row r="1624">
      <c r="A1624" s="12">
        <v>0.51</v>
      </c>
      <c r="B1624" s="12">
        <v>229.6</v>
      </c>
      <c r="C1624" s="12">
        <v>60.5</v>
      </c>
      <c r="D1624" s="12">
        <v>4.71</v>
      </c>
      <c r="E1624" s="12">
        <v>0.52</v>
      </c>
      <c r="F1624" s="12">
        <v>49.9</v>
      </c>
      <c r="G1624" s="13">
        <v>44462.76683097222</v>
      </c>
      <c r="H1624" s="14">
        <f>IFERROR(__xludf.DUMMYFUNCTION("SPLIT(G1624, "", "")"),44462.0)</f>
        <v>44462</v>
      </c>
      <c r="I1624" s="15">
        <f>IFERROR(__xludf.DUMMYFUNCTION("""COMPUTED_VALUE"""),0.7668287037037037)</f>
        <v>0.7668287037</v>
      </c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</row>
    <row r="1625">
      <c r="A1625" s="12">
        <v>0.51</v>
      </c>
      <c r="B1625" s="12">
        <v>229.6</v>
      </c>
      <c r="C1625" s="12">
        <v>60.5</v>
      </c>
      <c r="D1625" s="12">
        <v>4.71</v>
      </c>
      <c r="E1625" s="12">
        <v>0.52</v>
      </c>
      <c r="F1625" s="12">
        <v>50.0</v>
      </c>
      <c r="G1625" s="13">
        <v>44462.76693421297</v>
      </c>
      <c r="H1625" s="14">
        <f>IFERROR(__xludf.DUMMYFUNCTION("SPLIT(G1625, "", "")"),44462.0)</f>
        <v>44462</v>
      </c>
      <c r="I1625" s="15">
        <f>IFERROR(__xludf.DUMMYFUNCTION("""COMPUTED_VALUE"""),0.7669328703703704)</f>
        <v>0.7669328704</v>
      </c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</row>
    <row r="1626">
      <c r="A1626" s="12">
        <v>0.51</v>
      </c>
      <c r="B1626" s="12">
        <v>229.7</v>
      </c>
      <c r="C1626" s="12">
        <v>60.5</v>
      </c>
      <c r="D1626" s="12">
        <v>4.71</v>
      </c>
      <c r="E1626" s="12">
        <v>0.52</v>
      </c>
      <c r="F1626" s="12">
        <v>50.0</v>
      </c>
      <c r="G1626" s="13">
        <v>44462.76703353009</v>
      </c>
      <c r="H1626" s="14">
        <f>IFERROR(__xludf.DUMMYFUNCTION("SPLIT(G1626, "", "")"),44462.0)</f>
        <v>44462</v>
      </c>
      <c r="I1626" s="15">
        <f>IFERROR(__xludf.DUMMYFUNCTION("""COMPUTED_VALUE"""),0.7670370370370371)</f>
        <v>0.767037037</v>
      </c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</row>
    <row r="1627">
      <c r="A1627" s="12">
        <v>0.51</v>
      </c>
      <c r="B1627" s="12">
        <v>229.7</v>
      </c>
      <c r="C1627" s="12">
        <v>60.3</v>
      </c>
      <c r="D1627" s="12">
        <v>4.71</v>
      </c>
      <c r="E1627" s="12">
        <v>0.52</v>
      </c>
      <c r="F1627" s="12">
        <v>50.0</v>
      </c>
      <c r="G1627" s="13">
        <v>44462.76713042824</v>
      </c>
      <c r="H1627" s="14">
        <f>IFERROR(__xludf.DUMMYFUNCTION("SPLIT(G1627, "", "")"),44462.0)</f>
        <v>44462</v>
      </c>
      <c r="I1627" s="15">
        <f>IFERROR(__xludf.DUMMYFUNCTION("""COMPUTED_VALUE"""),0.7671296296296296)</f>
        <v>0.7671296296</v>
      </c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</row>
    <row r="1628">
      <c r="A1628" s="12">
        <v>0.51</v>
      </c>
      <c r="B1628" s="12">
        <v>229.8</v>
      </c>
      <c r="C1628" s="12">
        <v>60.3</v>
      </c>
      <c r="D1628" s="12">
        <v>4.71</v>
      </c>
      <c r="E1628" s="12">
        <v>0.52</v>
      </c>
      <c r="F1628" s="12">
        <v>50.0</v>
      </c>
      <c r="G1628" s="13">
        <v>44462.767233391205</v>
      </c>
      <c r="H1628" s="14">
        <f>IFERROR(__xludf.DUMMYFUNCTION("SPLIT(G1628, "", "")"),44462.0)</f>
        <v>44462</v>
      </c>
      <c r="I1628" s="15">
        <f>IFERROR(__xludf.DUMMYFUNCTION("""COMPUTED_VALUE"""),0.7672337962962963)</f>
        <v>0.7672337963</v>
      </c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</row>
    <row r="1629">
      <c r="A1629" s="12">
        <v>0.51</v>
      </c>
      <c r="B1629" s="12">
        <v>229.8</v>
      </c>
      <c r="C1629" s="12">
        <v>60.4</v>
      </c>
      <c r="D1629" s="12">
        <v>4.71</v>
      </c>
      <c r="E1629" s="12">
        <v>0.52</v>
      </c>
      <c r="F1629" s="12">
        <v>50.0</v>
      </c>
      <c r="G1629" s="13">
        <v>44462.76733582176</v>
      </c>
      <c r="H1629" s="14">
        <f>IFERROR(__xludf.DUMMYFUNCTION("SPLIT(G1629, "", "")"),44462.0)</f>
        <v>44462</v>
      </c>
      <c r="I1629" s="15">
        <f>IFERROR(__xludf.DUMMYFUNCTION("""COMPUTED_VALUE"""),0.767337962962963)</f>
        <v>0.767337963</v>
      </c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</row>
    <row r="1630">
      <c r="A1630" s="12">
        <v>0.5</v>
      </c>
      <c r="B1630" s="12">
        <v>229.9</v>
      </c>
      <c r="C1630" s="12">
        <v>60.1</v>
      </c>
      <c r="D1630" s="12">
        <v>4.71</v>
      </c>
      <c r="E1630" s="12">
        <v>0.52</v>
      </c>
      <c r="F1630" s="12">
        <v>50.0</v>
      </c>
      <c r="G1630" s="13">
        <v>44462.76743961805</v>
      </c>
      <c r="H1630" s="14">
        <f>IFERROR(__xludf.DUMMYFUNCTION("SPLIT(G1630, "", "")"),44462.0)</f>
        <v>44462</v>
      </c>
      <c r="I1630" s="15">
        <f>IFERROR(__xludf.DUMMYFUNCTION("""COMPUTED_VALUE"""),0.7674421296296297)</f>
        <v>0.7674421296</v>
      </c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</row>
    <row r="1631">
      <c r="A1631" s="12">
        <v>0.5</v>
      </c>
      <c r="B1631" s="12">
        <v>229.9</v>
      </c>
      <c r="C1631" s="12">
        <v>60.0</v>
      </c>
      <c r="D1631" s="12">
        <v>4.71</v>
      </c>
      <c r="E1631" s="12">
        <v>0.52</v>
      </c>
      <c r="F1631" s="12">
        <v>50.0</v>
      </c>
      <c r="G1631" s="13">
        <v>44462.76754503472</v>
      </c>
      <c r="H1631" s="14">
        <f>IFERROR(__xludf.DUMMYFUNCTION("SPLIT(G1631, "", "")"),44462.0)</f>
        <v>44462</v>
      </c>
      <c r="I1631" s="15">
        <f>IFERROR(__xludf.DUMMYFUNCTION("""COMPUTED_VALUE"""),0.7675462962962963)</f>
        <v>0.7675462963</v>
      </c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</row>
    <row r="1632">
      <c r="A1632" s="12">
        <v>0.5</v>
      </c>
      <c r="B1632" s="12">
        <v>230.1</v>
      </c>
      <c r="C1632" s="12">
        <v>59.8</v>
      </c>
      <c r="D1632" s="12">
        <v>4.71</v>
      </c>
      <c r="E1632" s="12">
        <v>0.52</v>
      </c>
      <c r="F1632" s="12">
        <v>50.0</v>
      </c>
      <c r="G1632" s="13">
        <v>44462.76764726852</v>
      </c>
      <c r="H1632" s="14">
        <f>IFERROR(__xludf.DUMMYFUNCTION("SPLIT(G1632, "", "")"),44462.0)</f>
        <v>44462</v>
      </c>
      <c r="I1632" s="15">
        <f>IFERROR(__xludf.DUMMYFUNCTION("""COMPUTED_VALUE"""),0.7676504629629629)</f>
        <v>0.767650463</v>
      </c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</row>
    <row r="1633">
      <c r="A1633" s="12">
        <v>0.5</v>
      </c>
      <c r="B1633" s="12">
        <v>229.9</v>
      </c>
      <c r="C1633" s="12">
        <v>59.6</v>
      </c>
      <c r="D1633" s="12">
        <v>4.71</v>
      </c>
      <c r="E1633" s="12">
        <v>0.52</v>
      </c>
      <c r="F1633" s="12">
        <v>50.0</v>
      </c>
      <c r="G1633" s="13">
        <v>44462.76774900463</v>
      </c>
      <c r="H1633" s="14">
        <f>IFERROR(__xludf.DUMMYFUNCTION("SPLIT(G1633, "", "")"),44462.0)</f>
        <v>44462</v>
      </c>
      <c r="I1633" s="15">
        <f>IFERROR(__xludf.DUMMYFUNCTION("""COMPUTED_VALUE"""),0.7677546296296296)</f>
        <v>0.7677546296</v>
      </c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</row>
    <row r="1634">
      <c r="A1634" s="12">
        <v>0.5</v>
      </c>
      <c r="B1634" s="12">
        <v>229.8</v>
      </c>
      <c r="C1634" s="12">
        <v>59.5</v>
      </c>
      <c r="D1634" s="12">
        <v>4.71</v>
      </c>
      <c r="E1634" s="12">
        <v>0.52</v>
      </c>
      <c r="F1634" s="12">
        <v>50.0</v>
      </c>
      <c r="G1634" s="13">
        <v>44462.767850000004</v>
      </c>
      <c r="H1634" s="14">
        <f>IFERROR(__xludf.DUMMYFUNCTION("SPLIT(G1634, "", "")"),44462.0)</f>
        <v>44462</v>
      </c>
      <c r="I1634" s="15">
        <f>IFERROR(__xludf.DUMMYFUNCTION("""COMPUTED_VALUE"""),0.7678472222222222)</f>
        <v>0.7678472222</v>
      </c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</row>
    <row r="1635">
      <c r="A1635" s="12">
        <v>0.5</v>
      </c>
      <c r="B1635" s="12">
        <v>229.9</v>
      </c>
      <c r="C1635" s="12">
        <v>59.2</v>
      </c>
      <c r="D1635" s="12">
        <v>4.71</v>
      </c>
      <c r="E1635" s="12">
        <v>0.52</v>
      </c>
      <c r="F1635" s="12">
        <v>50.0</v>
      </c>
      <c r="G1635" s="13">
        <v>44462.76795001158</v>
      </c>
      <c r="H1635" s="14">
        <f>IFERROR(__xludf.DUMMYFUNCTION("SPLIT(G1635, "", "")"),44462.0)</f>
        <v>44462</v>
      </c>
      <c r="I1635" s="15">
        <f>IFERROR(__xludf.DUMMYFUNCTION("""COMPUTED_VALUE"""),0.7679513888888889)</f>
        <v>0.7679513889</v>
      </c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</row>
    <row r="1636">
      <c r="A1636" s="12">
        <v>0.5</v>
      </c>
      <c r="B1636" s="12">
        <v>230.0</v>
      </c>
      <c r="C1636" s="12">
        <v>59.2</v>
      </c>
      <c r="D1636" s="12">
        <v>4.71</v>
      </c>
      <c r="E1636" s="12">
        <v>0.52</v>
      </c>
      <c r="F1636" s="12">
        <v>50.0</v>
      </c>
      <c r="G1636" s="13">
        <v>44462.768052824074</v>
      </c>
      <c r="H1636" s="14">
        <f>IFERROR(__xludf.DUMMYFUNCTION("SPLIT(G1636, "", "")"),44462.0)</f>
        <v>44462</v>
      </c>
      <c r="I1636" s="15">
        <f>IFERROR(__xludf.DUMMYFUNCTION("""COMPUTED_VALUE"""),0.7680555555555556)</f>
        <v>0.7680555556</v>
      </c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</row>
    <row r="1637">
      <c r="A1637" s="12">
        <v>0.5</v>
      </c>
      <c r="B1637" s="12">
        <v>229.9</v>
      </c>
      <c r="C1637" s="12">
        <v>59.0</v>
      </c>
      <c r="D1637" s="12">
        <v>4.71</v>
      </c>
      <c r="E1637" s="12">
        <v>0.52</v>
      </c>
      <c r="F1637" s="12">
        <v>50.0</v>
      </c>
      <c r="G1637" s="13">
        <v>44462.768161562504</v>
      </c>
      <c r="H1637" s="14">
        <f>IFERROR(__xludf.DUMMYFUNCTION("SPLIT(G1637, "", "")"),44462.0)</f>
        <v>44462</v>
      </c>
      <c r="I1637" s="15">
        <f>IFERROR(__xludf.DUMMYFUNCTION("""COMPUTED_VALUE"""),0.7681597222222222)</f>
        <v>0.7681597222</v>
      </c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</row>
    <row r="1638">
      <c r="A1638" s="12">
        <v>0.49</v>
      </c>
      <c r="B1638" s="12">
        <v>229.9</v>
      </c>
      <c r="C1638" s="12">
        <v>58.8</v>
      </c>
      <c r="D1638" s="12">
        <v>4.71</v>
      </c>
      <c r="E1638" s="12">
        <v>0.52</v>
      </c>
      <c r="F1638" s="12">
        <v>49.9</v>
      </c>
      <c r="G1638" s="13">
        <v>44462.76826844907</v>
      </c>
      <c r="H1638" s="14">
        <f>IFERROR(__xludf.DUMMYFUNCTION("SPLIT(G1638, "", "")"),44462.0)</f>
        <v>44462</v>
      </c>
      <c r="I1638" s="15">
        <f>IFERROR(__xludf.DUMMYFUNCTION("""COMPUTED_VALUE"""),0.7682638888888889)</f>
        <v>0.7682638889</v>
      </c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</row>
    <row r="1639">
      <c r="A1639" s="12">
        <v>0.5</v>
      </c>
      <c r="B1639" s="12">
        <v>229.8</v>
      </c>
      <c r="C1639" s="12">
        <v>58.7</v>
      </c>
      <c r="D1639" s="12">
        <v>4.72</v>
      </c>
      <c r="E1639" s="12">
        <v>0.52</v>
      </c>
      <c r="F1639" s="12">
        <v>50.0</v>
      </c>
      <c r="G1639" s="13">
        <v>44462.76837020833</v>
      </c>
      <c r="H1639" s="14">
        <f>IFERROR(__xludf.DUMMYFUNCTION("SPLIT(G1639, "", "")"),44462.0)</f>
        <v>44462</v>
      </c>
      <c r="I1639" s="15">
        <f>IFERROR(__xludf.DUMMYFUNCTION("""COMPUTED_VALUE"""),0.7683680555555555)</f>
        <v>0.7683680556</v>
      </c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</row>
    <row r="1640">
      <c r="A1640" s="12">
        <v>0.49</v>
      </c>
      <c r="B1640" s="12">
        <v>229.9</v>
      </c>
      <c r="C1640" s="12">
        <v>58.7</v>
      </c>
      <c r="D1640" s="12">
        <v>4.72</v>
      </c>
      <c r="E1640" s="12">
        <v>0.52</v>
      </c>
      <c r="F1640" s="12">
        <v>49.9</v>
      </c>
      <c r="G1640" s="13">
        <v>44462.76847270833</v>
      </c>
      <c r="H1640" s="14">
        <f>IFERROR(__xludf.DUMMYFUNCTION("SPLIT(G1640, "", "")"),44462.0)</f>
        <v>44462</v>
      </c>
      <c r="I1640" s="15">
        <f>IFERROR(__xludf.DUMMYFUNCTION("""COMPUTED_VALUE"""),0.7684722222222222)</f>
        <v>0.7684722222</v>
      </c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</row>
    <row r="1641">
      <c r="A1641" s="12">
        <v>0.49</v>
      </c>
      <c r="B1641" s="12">
        <v>229.9</v>
      </c>
      <c r="C1641" s="12">
        <v>58.4</v>
      </c>
      <c r="D1641" s="12">
        <v>4.72</v>
      </c>
      <c r="E1641" s="12">
        <v>0.52</v>
      </c>
      <c r="F1641" s="12">
        <v>49.9</v>
      </c>
      <c r="G1641" s="13">
        <v>44462.768572870365</v>
      </c>
      <c r="H1641" s="14">
        <f>IFERROR(__xludf.DUMMYFUNCTION("SPLIT(G1641, "", "")"),44462.0)</f>
        <v>44462</v>
      </c>
      <c r="I1641" s="15">
        <f>IFERROR(__xludf.DUMMYFUNCTION("""COMPUTED_VALUE"""),0.7685763888888889)</f>
        <v>0.7685763889</v>
      </c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</row>
    <row r="1642">
      <c r="A1642" s="12">
        <v>0.49</v>
      </c>
      <c r="B1642" s="12">
        <v>229.9</v>
      </c>
      <c r="C1642" s="12">
        <v>58.1</v>
      </c>
      <c r="D1642" s="12">
        <v>4.72</v>
      </c>
      <c r="E1642" s="12">
        <v>0.51</v>
      </c>
      <c r="F1642" s="12">
        <v>50.0</v>
      </c>
      <c r="G1642" s="13">
        <v>44462.768678622684</v>
      </c>
      <c r="H1642" s="14">
        <f>IFERROR(__xludf.DUMMYFUNCTION("SPLIT(G1642, "", "")"),44462.0)</f>
        <v>44462</v>
      </c>
      <c r="I1642" s="15">
        <f>IFERROR(__xludf.DUMMYFUNCTION("""COMPUTED_VALUE"""),0.7686805555555556)</f>
        <v>0.7686805556</v>
      </c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</row>
    <row r="1643">
      <c r="A1643" s="12">
        <v>0.49</v>
      </c>
      <c r="B1643" s="12">
        <v>229.9</v>
      </c>
      <c r="C1643" s="12">
        <v>57.8</v>
      </c>
      <c r="D1643" s="12">
        <v>4.72</v>
      </c>
      <c r="E1643" s="12">
        <v>0.52</v>
      </c>
      <c r="F1643" s="12">
        <v>49.9</v>
      </c>
      <c r="G1643" s="13">
        <v>44462.76877923611</v>
      </c>
      <c r="H1643" s="14">
        <f>IFERROR(__xludf.DUMMYFUNCTION("SPLIT(G1643, "", "")"),44462.0)</f>
        <v>44462</v>
      </c>
      <c r="I1643" s="15">
        <f>IFERROR(__xludf.DUMMYFUNCTION("""COMPUTED_VALUE"""),0.7687847222222223)</f>
        <v>0.7687847222</v>
      </c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</row>
    <row r="1644">
      <c r="A1644" s="12">
        <v>0.49</v>
      </c>
      <c r="B1644" s="12">
        <v>229.8</v>
      </c>
      <c r="C1644" s="12">
        <v>57.6</v>
      </c>
      <c r="D1644" s="12">
        <v>4.72</v>
      </c>
      <c r="E1644" s="12">
        <v>0.51</v>
      </c>
      <c r="F1644" s="12">
        <v>50.0</v>
      </c>
      <c r="G1644" s="13">
        <v>44462.76888304398</v>
      </c>
      <c r="H1644" s="14">
        <f>IFERROR(__xludf.DUMMYFUNCTION("SPLIT(G1644, "", "")"),44462.0)</f>
        <v>44462</v>
      </c>
      <c r="I1644" s="15">
        <f>IFERROR(__xludf.DUMMYFUNCTION("""COMPUTED_VALUE"""),0.7688773148148148)</f>
        <v>0.7688773148</v>
      </c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</row>
    <row r="1645">
      <c r="A1645" s="12">
        <v>0.49</v>
      </c>
      <c r="B1645" s="12">
        <v>229.9</v>
      </c>
      <c r="C1645" s="12">
        <v>57.5</v>
      </c>
      <c r="D1645" s="12">
        <v>4.72</v>
      </c>
      <c r="E1645" s="12">
        <v>0.51</v>
      </c>
      <c r="F1645" s="12">
        <v>50.0</v>
      </c>
      <c r="G1645" s="13">
        <v>44462.76899505787</v>
      </c>
      <c r="H1645" s="14">
        <f>IFERROR(__xludf.DUMMYFUNCTION("SPLIT(G1645, "", "")"),44462.0)</f>
        <v>44462</v>
      </c>
      <c r="I1645" s="15">
        <f>IFERROR(__xludf.DUMMYFUNCTION("""COMPUTED_VALUE"""),0.7689930555555555)</f>
        <v>0.7689930556</v>
      </c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</row>
    <row r="1646">
      <c r="A1646" s="12">
        <v>0.49</v>
      </c>
      <c r="B1646" s="12">
        <v>229.9</v>
      </c>
      <c r="C1646" s="12">
        <v>57.2</v>
      </c>
      <c r="D1646" s="12">
        <v>4.72</v>
      </c>
      <c r="E1646" s="12">
        <v>0.51</v>
      </c>
      <c r="F1646" s="12">
        <v>50.0</v>
      </c>
      <c r="G1646" s="13">
        <v>44462.76909008102</v>
      </c>
      <c r="H1646" s="14">
        <f>IFERROR(__xludf.DUMMYFUNCTION("SPLIT(G1646, "", "")"),44462.0)</f>
        <v>44462</v>
      </c>
      <c r="I1646" s="15">
        <f>IFERROR(__xludf.DUMMYFUNCTION("""COMPUTED_VALUE"""),0.7690856481481482)</f>
        <v>0.7690856481</v>
      </c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</row>
    <row r="1647">
      <c r="A1647" s="12">
        <v>0.48</v>
      </c>
      <c r="B1647" s="12">
        <v>230.0</v>
      </c>
      <c r="C1647" s="12">
        <v>57.1</v>
      </c>
      <c r="D1647" s="12">
        <v>4.72</v>
      </c>
      <c r="E1647" s="12">
        <v>0.51</v>
      </c>
      <c r="F1647" s="12">
        <v>50.0</v>
      </c>
      <c r="G1647" s="13">
        <v>44462.76918967592</v>
      </c>
      <c r="H1647" s="14">
        <f>IFERROR(__xludf.DUMMYFUNCTION("SPLIT(G1647, "", "")"),44462.0)</f>
        <v>44462</v>
      </c>
      <c r="I1647" s="15">
        <f>IFERROR(__xludf.DUMMYFUNCTION("""COMPUTED_VALUE"""),0.7691898148148149)</f>
        <v>0.7691898148</v>
      </c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</row>
    <row r="1648">
      <c r="A1648" s="12">
        <v>0.48</v>
      </c>
      <c r="B1648" s="12">
        <v>230.0</v>
      </c>
      <c r="C1648" s="12">
        <v>56.8</v>
      </c>
      <c r="D1648" s="12">
        <v>4.72</v>
      </c>
      <c r="E1648" s="12">
        <v>0.51</v>
      </c>
      <c r="F1648" s="12">
        <v>50.0</v>
      </c>
      <c r="G1648" s="13">
        <v>44462.76928902778</v>
      </c>
      <c r="H1648" s="14">
        <f>IFERROR(__xludf.DUMMYFUNCTION("SPLIT(G1648, "", "")"),44462.0)</f>
        <v>44462</v>
      </c>
      <c r="I1648" s="15">
        <f>IFERROR(__xludf.DUMMYFUNCTION("""COMPUTED_VALUE"""),0.7692939814814815)</f>
        <v>0.7692939815</v>
      </c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</row>
    <row r="1649">
      <c r="A1649" s="12">
        <v>0.48</v>
      </c>
      <c r="B1649" s="12">
        <v>230.0</v>
      </c>
      <c r="C1649" s="12">
        <v>56.4</v>
      </c>
      <c r="D1649" s="12">
        <v>4.72</v>
      </c>
      <c r="E1649" s="12">
        <v>0.51</v>
      </c>
      <c r="F1649" s="12">
        <v>50.0</v>
      </c>
      <c r="G1649" s="13">
        <v>44462.76939498843</v>
      </c>
      <c r="H1649" s="14">
        <f>IFERROR(__xludf.DUMMYFUNCTION("SPLIT(G1649, "", "")"),44462.0)</f>
        <v>44462</v>
      </c>
      <c r="I1649" s="15">
        <f>IFERROR(__xludf.DUMMYFUNCTION("""COMPUTED_VALUE"""),0.7693981481481481)</f>
        <v>0.7693981481</v>
      </c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</row>
    <row r="1650">
      <c r="A1650" s="12">
        <v>0.47</v>
      </c>
      <c r="B1650" s="12">
        <v>230.0</v>
      </c>
      <c r="C1650" s="12">
        <v>56.2</v>
      </c>
      <c r="D1650" s="12">
        <v>4.72</v>
      </c>
      <c r="E1650" s="12">
        <v>0.51</v>
      </c>
      <c r="F1650" s="12">
        <v>50.0</v>
      </c>
      <c r="G1650" s="13">
        <v>44462.76950002315</v>
      </c>
      <c r="H1650" s="14">
        <f>IFERROR(__xludf.DUMMYFUNCTION("SPLIT(G1650, "", "")"),44462.0)</f>
        <v>44462</v>
      </c>
      <c r="I1650" s="15">
        <f>IFERROR(__xludf.DUMMYFUNCTION("""COMPUTED_VALUE"""),0.7695023148148148)</f>
        <v>0.7695023148</v>
      </c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</row>
    <row r="1651">
      <c r="A1651" s="12">
        <v>0.47</v>
      </c>
      <c r="B1651" s="12">
        <v>229.9</v>
      </c>
      <c r="C1651" s="12">
        <v>56.3</v>
      </c>
      <c r="D1651" s="12">
        <v>4.72</v>
      </c>
      <c r="E1651" s="12">
        <v>0.52</v>
      </c>
      <c r="F1651" s="12">
        <v>50.0</v>
      </c>
      <c r="G1651" s="13">
        <v>44462.76960003472</v>
      </c>
      <c r="H1651" s="14">
        <f>IFERROR(__xludf.DUMMYFUNCTION("SPLIT(G1651, "", "")"),44462.0)</f>
        <v>44462</v>
      </c>
      <c r="I1651" s="15">
        <f>IFERROR(__xludf.DUMMYFUNCTION("""COMPUTED_VALUE"""),0.7695949074074074)</f>
        <v>0.7695949074</v>
      </c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</row>
    <row r="1652">
      <c r="A1652" s="12">
        <v>0.47</v>
      </c>
      <c r="B1652" s="12">
        <v>229.9</v>
      </c>
      <c r="C1652" s="12">
        <v>55.9</v>
      </c>
      <c r="D1652" s="12">
        <v>4.72</v>
      </c>
      <c r="E1652" s="12">
        <v>0.51</v>
      </c>
      <c r="F1652" s="12">
        <v>50.0</v>
      </c>
      <c r="G1652" s="13">
        <v>44462.76970244213</v>
      </c>
      <c r="H1652" s="14">
        <f>IFERROR(__xludf.DUMMYFUNCTION("SPLIT(G1652, "", "")"),44462.0)</f>
        <v>44462</v>
      </c>
      <c r="I1652" s="15">
        <f>IFERROR(__xludf.DUMMYFUNCTION("""COMPUTED_VALUE"""),0.7696990740740741)</f>
        <v>0.7696990741</v>
      </c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</row>
    <row r="1653">
      <c r="A1653" s="12">
        <v>0.47</v>
      </c>
      <c r="B1653" s="12">
        <v>229.9</v>
      </c>
      <c r="C1653" s="12">
        <v>55.8</v>
      </c>
      <c r="D1653" s="12">
        <v>4.72</v>
      </c>
      <c r="E1653" s="12">
        <v>0.51</v>
      </c>
      <c r="F1653" s="12">
        <v>50.0</v>
      </c>
      <c r="G1653" s="13">
        <v>44462.76980652778</v>
      </c>
      <c r="H1653" s="14">
        <f>IFERROR(__xludf.DUMMYFUNCTION("SPLIT(G1653, "", "")"),44462.0)</f>
        <v>44462</v>
      </c>
      <c r="I1653" s="15">
        <f>IFERROR(__xludf.DUMMYFUNCTION("""COMPUTED_VALUE"""),0.7698032407407407)</f>
        <v>0.7698032407</v>
      </c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</row>
    <row r="1654">
      <c r="A1654" s="12">
        <v>0.47</v>
      </c>
      <c r="B1654" s="12">
        <v>229.9</v>
      </c>
      <c r="C1654" s="12">
        <v>55.4</v>
      </c>
      <c r="D1654" s="12">
        <v>4.72</v>
      </c>
      <c r="E1654" s="12">
        <v>0.51</v>
      </c>
      <c r="F1654" s="12">
        <v>50.0</v>
      </c>
      <c r="G1654" s="13">
        <v>44462.76991170138</v>
      </c>
      <c r="H1654" s="14">
        <f>IFERROR(__xludf.DUMMYFUNCTION("SPLIT(G1654, "", "")"),44462.0)</f>
        <v>44462</v>
      </c>
      <c r="I1654" s="15">
        <f>IFERROR(__xludf.DUMMYFUNCTION("""COMPUTED_VALUE"""),0.7699074074074074)</f>
        <v>0.7699074074</v>
      </c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</row>
    <row r="1655">
      <c r="A1655" s="12">
        <v>0.47</v>
      </c>
      <c r="B1655" s="12">
        <v>229.9</v>
      </c>
      <c r="C1655" s="12">
        <v>55.2</v>
      </c>
      <c r="D1655" s="12">
        <v>4.72</v>
      </c>
      <c r="E1655" s="12">
        <v>0.51</v>
      </c>
      <c r="F1655" s="12">
        <v>50.0</v>
      </c>
      <c r="G1655" s="13">
        <v>44462.770015636575</v>
      </c>
      <c r="H1655" s="14">
        <f>IFERROR(__xludf.DUMMYFUNCTION("SPLIT(G1655, "", "")"),44462.0)</f>
        <v>44462</v>
      </c>
      <c r="I1655" s="15">
        <f>IFERROR(__xludf.DUMMYFUNCTION("""COMPUTED_VALUE"""),0.7700115740740741)</f>
        <v>0.7700115741</v>
      </c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</row>
    <row r="1656">
      <c r="A1656" s="12">
        <v>0.47</v>
      </c>
      <c r="B1656" s="12">
        <v>229.9</v>
      </c>
      <c r="C1656" s="12">
        <v>54.9</v>
      </c>
      <c r="D1656" s="12">
        <v>4.72</v>
      </c>
      <c r="E1656" s="12">
        <v>0.51</v>
      </c>
      <c r="F1656" s="12">
        <v>50.0</v>
      </c>
      <c r="G1656" s="13">
        <v>44462.770126539355</v>
      </c>
      <c r="H1656" s="14">
        <f>IFERROR(__xludf.DUMMYFUNCTION("SPLIT(G1656, "", "")"),44462.0)</f>
        <v>44462</v>
      </c>
      <c r="I1656" s="15">
        <f>IFERROR(__xludf.DUMMYFUNCTION("""COMPUTED_VALUE"""),0.7701273148148148)</f>
        <v>0.7701273148</v>
      </c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</row>
    <row r="1657">
      <c r="A1657" s="12">
        <v>0.46</v>
      </c>
      <c r="B1657" s="12">
        <v>229.9</v>
      </c>
      <c r="C1657" s="12">
        <v>54.5</v>
      </c>
      <c r="D1657" s="12">
        <v>4.72</v>
      </c>
      <c r="E1657" s="12">
        <v>0.51</v>
      </c>
      <c r="F1657" s="12">
        <v>50.0</v>
      </c>
      <c r="G1657" s="13">
        <v>44462.770305474536</v>
      </c>
      <c r="H1657" s="14">
        <f>IFERROR(__xludf.DUMMYFUNCTION("SPLIT(G1657, "", "")"),44462.0)</f>
        <v>44462</v>
      </c>
      <c r="I1657" s="15">
        <f>IFERROR(__xludf.DUMMYFUNCTION("""COMPUTED_VALUE"""),0.7703009259259259)</f>
        <v>0.7703009259</v>
      </c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</row>
    <row r="1658">
      <c r="A1658" s="12">
        <v>0.46</v>
      </c>
      <c r="B1658" s="12">
        <v>229.9</v>
      </c>
      <c r="C1658" s="12">
        <v>54.5</v>
      </c>
      <c r="D1658" s="12">
        <v>4.72</v>
      </c>
      <c r="E1658" s="12">
        <v>0.51</v>
      </c>
      <c r="F1658" s="12">
        <v>50.0</v>
      </c>
      <c r="G1658" s="13">
        <v>44462.77036417824</v>
      </c>
      <c r="H1658" s="14">
        <f>IFERROR(__xludf.DUMMYFUNCTION("SPLIT(G1658, "", "")"),44462.0)</f>
        <v>44462</v>
      </c>
      <c r="I1658" s="15">
        <f>IFERROR(__xludf.DUMMYFUNCTION("""COMPUTED_VALUE"""),0.7703587962962963)</f>
        <v>0.7703587963</v>
      </c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</row>
    <row r="1659">
      <c r="A1659" s="12">
        <v>0.46</v>
      </c>
      <c r="B1659" s="12">
        <v>229.9</v>
      </c>
      <c r="C1659" s="12">
        <v>54.0</v>
      </c>
      <c r="D1659" s="12">
        <v>4.72</v>
      </c>
      <c r="E1659" s="12">
        <v>0.52</v>
      </c>
      <c r="F1659" s="12">
        <v>50.0</v>
      </c>
      <c r="G1659" s="13">
        <v>44462.77046799769</v>
      </c>
      <c r="H1659" s="14">
        <f>IFERROR(__xludf.DUMMYFUNCTION("SPLIT(G1659, "", "")"),44462.0)</f>
        <v>44462</v>
      </c>
      <c r="I1659" s="15">
        <f>IFERROR(__xludf.DUMMYFUNCTION("""COMPUTED_VALUE"""),0.770462962962963)</f>
        <v>0.770462963</v>
      </c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</row>
    <row r="1660">
      <c r="A1660" s="12">
        <v>0.45</v>
      </c>
      <c r="B1660" s="12">
        <v>229.9</v>
      </c>
      <c r="C1660" s="12">
        <v>53.7</v>
      </c>
      <c r="D1660" s="12">
        <v>4.72</v>
      </c>
      <c r="E1660" s="12">
        <v>0.51</v>
      </c>
      <c r="F1660" s="12">
        <v>50.0</v>
      </c>
      <c r="G1660" s="13">
        <v>44462.77057400463</v>
      </c>
      <c r="H1660" s="14">
        <f>IFERROR(__xludf.DUMMYFUNCTION("SPLIT(G1660, "", "")"),44462.0)</f>
        <v>44462</v>
      </c>
      <c r="I1660" s="15">
        <f>IFERROR(__xludf.DUMMYFUNCTION("""COMPUTED_VALUE"""),0.7705787037037037)</f>
        <v>0.7705787037</v>
      </c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</row>
    <row r="1661">
      <c r="A1661" s="12">
        <v>0.45</v>
      </c>
      <c r="B1661" s="12">
        <v>229.9</v>
      </c>
      <c r="C1661" s="12">
        <v>53.5</v>
      </c>
      <c r="D1661" s="12">
        <v>4.72</v>
      </c>
      <c r="E1661" s="12">
        <v>0.51</v>
      </c>
      <c r="F1661" s="12">
        <v>50.0</v>
      </c>
      <c r="G1661" s="13">
        <v>44462.77067408565</v>
      </c>
      <c r="H1661" s="14">
        <f>IFERROR(__xludf.DUMMYFUNCTION("SPLIT(G1661, "", "")"),44462.0)</f>
        <v>44462</v>
      </c>
      <c r="I1661" s="15">
        <f>IFERROR(__xludf.DUMMYFUNCTION("""COMPUTED_VALUE"""),0.7706712962962963)</f>
        <v>0.7706712963</v>
      </c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</row>
    <row r="1662">
      <c r="A1662" s="12">
        <v>0.45</v>
      </c>
      <c r="B1662" s="12">
        <v>229.9</v>
      </c>
      <c r="C1662" s="12">
        <v>53.3</v>
      </c>
      <c r="D1662" s="12">
        <v>4.72</v>
      </c>
      <c r="E1662" s="12">
        <v>0.52</v>
      </c>
      <c r="F1662" s="12">
        <v>50.0</v>
      </c>
      <c r="G1662" s="13">
        <v>44462.77077827546</v>
      </c>
      <c r="H1662" s="14">
        <f>IFERROR(__xludf.DUMMYFUNCTION("SPLIT(G1662, "", "")"),44462.0)</f>
        <v>44462</v>
      </c>
      <c r="I1662" s="15">
        <f>IFERROR(__xludf.DUMMYFUNCTION("""COMPUTED_VALUE"""),0.770775462962963)</f>
        <v>0.770775463</v>
      </c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</row>
    <row r="1663">
      <c r="A1663" s="12">
        <v>0.45</v>
      </c>
      <c r="B1663" s="12">
        <v>229.9</v>
      </c>
      <c r="C1663" s="12">
        <v>53.0</v>
      </c>
      <c r="D1663" s="12">
        <v>4.72</v>
      </c>
      <c r="E1663" s="12">
        <v>0.51</v>
      </c>
      <c r="F1663" s="12">
        <v>50.0</v>
      </c>
      <c r="G1663" s="13">
        <v>44462.770882083336</v>
      </c>
      <c r="H1663" s="14">
        <f>IFERROR(__xludf.DUMMYFUNCTION("SPLIT(G1663, "", "")"),44462.0)</f>
        <v>44462</v>
      </c>
      <c r="I1663" s="15">
        <f>IFERROR(__xludf.DUMMYFUNCTION("""COMPUTED_VALUE"""),0.7708796296296296)</f>
        <v>0.7708796296</v>
      </c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</row>
    <row r="1664">
      <c r="A1664" s="12">
        <v>0.45</v>
      </c>
      <c r="B1664" s="12">
        <v>229.8</v>
      </c>
      <c r="C1664" s="12">
        <v>52.8</v>
      </c>
      <c r="D1664" s="12">
        <v>4.72</v>
      </c>
      <c r="E1664" s="12">
        <v>0.51</v>
      </c>
      <c r="F1664" s="12">
        <v>50.0</v>
      </c>
      <c r="G1664" s="13">
        <v>44462.770981064816</v>
      </c>
      <c r="H1664" s="14">
        <f>IFERROR(__xludf.DUMMYFUNCTION("SPLIT(G1664, "", "")"),44462.0)</f>
        <v>44462</v>
      </c>
      <c r="I1664" s="15">
        <f>IFERROR(__xludf.DUMMYFUNCTION("""COMPUTED_VALUE"""),0.7709837962962963)</f>
        <v>0.7709837963</v>
      </c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</row>
    <row r="1665">
      <c r="A1665" s="12">
        <v>0.45</v>
      </c>
      <c r="B1665" s="12">
        <v>229.7</v>
      </c>
      <c r="C1665" s="12">
        <v>52.8</v>
      </c>
      <c r="D1665" s="12">
        <v>4.72</v>
      </c>
      <c r="E1665" s="12">
        <v>0.52</v>
      </c>
      <c r="F1665" s="12">
        <v>49.9</v>
      </c>
      <c r="G1665" s="13">
        <v>44462.77107901621</v>
      </c>
      <c r="H1665" s="14">
        <f>IFERROR(__xludf.DUMMYFUNCTION("SPLIT(G1665, "", "")"),44462.0)</f>
        <v>44462</v>
      </c>
      <c r="I1665" s="15">
        <f>IFERROR(__xludf.DUMMYFUNCTION("""COMPUTED_VALUE"""),0.7710763888888889)</f>
        <v>0.7710763889</v>
      </c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</row>
    <row r="1666">
      <c r="A1666" s="12">
        <v>0.44</v>
      </c>
      <c r="B1666" s="12">
        <v>229.7</v>
      </c>
      <c r="C1666" s="12">
        <v>52.3</v>
      </c>
      <c r="D1666" s="12">
        <v>4.72</v>
      </c>
      <c r="E1666" s="12">
        <v>0.51</v>
      </c>
      <c r="F1666" s="12">
        <v>49.9</v>
      </c>
      <c r="G1666" s="13">
        <v>44462.77117974537</v>
      </c>
      <c r="H1666" s="14">
        <f>IFERROR(__xludf.DUMMYFUNCTION("SPLIT(G1666, "", "")"),44462.0)</f>
        <v>44462</v>
      </c>
      <c r="I1666" s="15">
        <f>IFERROR(__xludf.DUMMYFUNCTION("""COMPUTED_VALUE"""),0.7711805555555555)</f>
        <v>0.7711805556</v>
      </c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</row>
    <row r="1667">
      <c r="A1667" s="12">
        <v>0.44</v>
      </c>
      <c r="B1667" s="12">
        <v>229.6</v>
      </c>
      <c r="C1667" s="12">
        <v>52.1</v>
      </c>
      <c r="D1667" s="12">
        <v>4.72</v>
      </c>
      <c r="E1667" s="12">
        <v>0.51</v>
      </c>
      <c r="F1667" s="12">
        <v>49.9</v>
      </c>
      <c r="G1667" s="13">
        <v>44462.77127861111</v>
      </c>
      <c r="H1667" s="14">
        <f>IFERROR(__xludf.DUMMYFUNCTION("SPLIT(G1667, "", "")"),44462.0)</f>
        <v>44462</v>
      </c>
      <c r="I1667" s="15">
        <f>IFERROR(__xludf.DUMMYFUNCTION("""COMPUTED_VALUE"""),0.7712731481481482)</f>
        <v>0.7712731481</v>
      </c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</row>
    <row r="1668">
      <c r="A1668" s="12">
        <v>0.44</v>
      </c>
      <c r="B1668" s="12">
        <v>229.4</v>
      </c>
      <c r="C1668" s="12">
        <v>51.7</v>
      </c>
      <c r="D1668" s="12">
        <v>4.72</v>
      </c>
      <c r="E1668" s="12">
        <v>0.51</v>
      </c>
      <c r="F1668" s="12">
        <v>49.9</v>
      </c>
      <c r="G1668" s="13">
        <v>44462.77138810186</v>
      </c>
      <c r="H1668" s="14">
        <f>IFERROR(__xludf.DUMMYFUNCTION("SPLIT(G1668, "", "")"),44462.0)</f>
        <v>44462</v>
      </c>
      <c r="I1668" s="15">
        <f>IFERROR(__xludf.DUMMYFUNCTION("""COMPUTED_VALUE"""),0.7713888888888889)</f>
        <v>0.7713888889</v>
      </c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</row>
    <row r="1669">
      <c r="A1669" s="12">
        <v>0.44</v>
      </c>
      <c r="B1669" s="12">
        <v>229.6</v>
      </c>
      <c r="C1669" s="12">
        <v>51.6</v>
      </c>
      <c r="D1669" s="12">
        <v>4.72</v>
      </c>
      <c r="E1669" s="12">
        <v>0.51</v>
      </c>
      <c r="F1669" s="12">
        <v>49.9</v>
      </c>
      <c r="G1669" s="13">
        <v>44462.77149484954</v>
      </c>
      <c r="H1669" s="14">
        <f>IFERROR(__xludf.DUMMYFUNCTION("SPLIT(G1669, "", "")"),44462.0)</f>
        <v>44462</v>
      </c>
      <c r="I1669" s="15">
        <f>IFERROR(__xludf.DUMMYFUNCTION("""COMPUTED_VALUE"""),0.7714930555555556)</f>
        <v>0.7714930556</v>
      </c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</row>
    <row r="1670">
      <c r="A1670" s="12">
        <v>0.44</v>
      </c>
      <c r="B1670" s="12">
        <v>229.5</v>
      </c>
      <c r="C1670" s="12">
        <v>51.2</v>
      </c>
      <c r="D1670" s="12">
        <v>4.72</v>
      </c>
      <c r="E1670" s="12">
        <v>0.51</v>
      </c>
      <c r="F1670" s="12">
        <v>49.9</v>
      </c>
      <c r="G1670" s="13">
        <v>44462.771593530095</v>
      </c>
      <c r="H1670" s="14">
        <f>IFERROR(__xludf.DUMMYFUNCTION("SPLIT(G1670, "", "")"),44462.0)</f>
        <v>44462</v>
      </c>
      <c r="I1670" s="15">
        <f>IFERROR(__xludf.DUMMYFUNCTION("""COMPUTED_VALUE"""),0.7715972222222223)</f>
        <v>0.7715972222</v>
      </c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</row>
    <row r="1671">
      <c r="A1671" s="12">
        <v>0.44</v>
      </c>
      <c r="B1671" s="12">
        <v>229.5</v>
      </c>
      <c r="C1671" s="12">
        <v>51.3</v>
      </c>
      <c r="D1671" s="12">
        <v>4.72</v>
      </c>
      <c r="E1671" s="12">
        <v>0.51</v>
      </c>
      <c r="F1671" s="12">
        <v>49.9</v>
      </c>
      <c r="G1671" s="13">
        <v>44462.77169546296</v>
      </c>
      <c r="H1671" s="14">
        <f>IFERROR(__xludf.DUMMYFUNCTION("SPLIT(G1671, "", "")"),44462.0)</f>
        <v>44462</v>
      </c>
      <c r="I1671" s="15">
        <f>IFERROR(__xludf.DUMMYFUNCTION("""COMPUTED_VALUE"""),0.7716898148148148)</f>
        <v>0.7716898148</v>
      </c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</row>
    <row r="1672">
      <c r="A1672" s="12">
        <v>0.43</v>
      </c>
      <c r="B1672" s="12">
        <v>229.7</v>
      </c>
      <c r="C1672" s="12">
        <v>50.7</v>
      </c>
      <c r="D1672" s="12">
        <v>4.72</v>
      </c>
      <c r="E1672" s="12">
        <v>0.51</v>
      </c>
      <c r="F1672" s="12">
        <v>50.0</v>
      </c>
      <c r="G1672" s="13">
        <v>44462.77179547454</v>
      </c>
      <c r="H1672" s="14">
        <f>IFERROR(__xludf.DUMMYFUNCTION("SPLIT(G1672, "", "")"),44462.0)</f>
        <v>44462</v>
      </c>
      <c r="I1672" s="15">
        <f>IFERROR(__xludf.DUMMYFUNCTION("""COMPUTED_VALUE"""),0.7717939814814815)</f>
        <v>0.7717939815</v>
      </c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</row>
    <row r="1673">
      <c r="A1673" s="12">
        <v>0.43</v>
      </c>
      <c r="B1673" s="12">
        <v>229.6</v>
      </c>
      <c r="C1673" s="12">
        <v>50.5</v>
      </c>
      <c r="D1673" s="12">
        <v>4.72</v>
      </c>
      <c r="E1673" s="12">
        <v>0.51</v>
      </c>
      <c r="F1673" s="12">
        <v>50.0</v>
      </c>
      <c r="G1673" s="13">
        <v>44462.771896770835</v>
      </c>
      <c r="H1673" s="14">
        <f>IFERROR(__xludf.DUMMYFUNCTION("SPLIT(G1673, "", "")"),44462.0)</f>
        <v>44462</v>
      </c>
      <c r="I1673" s="15">
        <f>IFERROR(__xludf.DUMMYFUNCTION("""COMPUTED_VALUE"""),0.7718981481481482)</f>
        <v>0.7718981481</v>
      </c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</row>
    <row r="1674">
      <c r="A1674" s="12">
        <v>0.43</v>
      </c>
      <c r="B1674" s="12">
        <v>229.6</v>
      </c>
      <c r="C1674" s="12">
        <v>50.2</v>
      </c>
      <c r="D1674" s="12">
        <v>4.72</v>
      </c>
      <c r="E1674" s="12">
        <v>0.51</v>
      </c>
      <c r="F1674" s="12">
        <v>50.0</v>
      </c>
      <c r="G1674" s="13">
        <v>44462.77200229166</v>
      </c>
      <c r="H1674" s="14">
        <f>IFERROR(__xludf.DUMMYFUNCTION("SPLIT(G1674, "", "")"),44462.0)</f>
        <v>44462</v>
      </c>
      <c r="I1674" s="15">
        <f>IFERROR(__xludf.DUMMYFUNCTION("""COMPUTED_VALUE"""),0.7720023148148148)</f>
        <v>0.7720023148</v>
      </c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</row>
    <row r="1675">
      <c r="A1675" s="12">
        <v>0.43</v>
      </c>
      <c r="B1675" s="12">
        <v>229.8</v>
      </c>
      <c r="C1675" s="12">
        <v>50.3</v>
      </c>
      <c r="D1675" s="12">
        <v>4.72</v>
      </c>
      <c r="E1675" s="12">
        <v>0.51</v>
      </c>
      <c r="F1675" s="12">
        <v>50.0</v>
      </c>
      <c r="G1675" s="13">
        <v>44462.77210663194</v>
      </c>
      <c r="H1675" s="14">
        <f>IFERROR(__xludf.DUMMYFUNCTION("SPLIT(G1675, "", "")"),44462.0)</f>
        <v>44462</v>
      </c>
      <c r="I1675" s="15">
        <f>IFERROR(__xludf.DUMMYFUNCTION("""COMPUTED_VALUE"""),0.7721064814814815)</f>
        <v>0.7721064815</v>
      </c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</row>
    <row r="1676">
      <c r="A1676" s="12">
        <v>0.43</v>
      </c>
      <c r="B1676" s="12">
        <v>229.8</v>
      </c>
      <c r="C1676" s="12">
        <v>50.0</v>
      </c>
      <c r="D1676" s="12">
        <v>4.72</v>
      </c>
      <c r="E1676" s="12">
        <v>0.51</v>
      </c>
      <c r="F1676" s="12">
        <v>50.0</v>
      </c>
      <c r="G1676" s="13">
        <v>44462.77221390046</v>
      </c>
      <c r="H1676" s="14">
        <f>IFERROR(__xludf.DUMMYFUNCTION("SPLIT(G1676, "", "")"),44462.0)</f>
        <v>44462</v>
      </c>
      <c r="I1676" s="15">
        <f>IFERROR(__xludf.DUMMYFUNCTION("""COMPUTED_VALUE"""),0.7722106481481481)</f>
        <v>0.7722106481</v>
      </c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</row>
    <row r="1677">
      <c r="A1677" s="12">
        <v>0.43</v>
      </c>
      <c r="B1677" s="12">
        <v>229.8</v>
      </c>
      <c r="C1677" s="12">
        <v>49.6</v>
      </c>
      <c r="D1677" s="12">
        <v>4.72</v>
      </c>
      <c r="E1677" s="12">
        <v>0.51</v>
      </c>
      <c r="F1677" s="12">
        <v>50.0</v>
      </c>
      <c r="G1677" s="13">
        <v>44462.77231606482</v>
      </c>
      <c r="H1677" s="14">
        <f>IFERROR(__xludf.DUMMYFUNCTION("SPLIT(G1677, "", "")"),44462.0)</f>
        <v>44462</v>
      </c>
      <c r="I1677" s="15">
        <f>IFERROR(__xludf.DUMMYFUNCTION("""COMPUTED_VALUE"""),0.7723148148148148)</f>
        <v>0.7723148148</v>
      </c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</row>
    <row r="1678">
      <c r="A1678" s="12">
        <v>0.42</v>
      </c>
      <c r="B1678" s="12">
        <v>229.8</v>
      </c>
      <c r="C1678" s="12">
        <v>49.3</v>
      </c>
      <c r="D1678" s="12">
        <v>4.72</v>
      </c>
      <c r="E1678" s="12">
        <v>0.51</v>
      </c>
      <c r="F1678" s="12">
        <v>50.0</v>
      </c>
      <c r="G1678" s="13">
        <v>44462.77241748842</v>
      </c>
      <c r="H1678" s="14">
        <f>IFERROR(__xludf.DUMMYFUNCTION("SPLIT(G1678, "", "")"),44462.0)</f>
        <v>44462</v>
      </c>
      <c r="I1678" s="15">
        <f>IFERROR(__xludf.DUMMYFUNCTION("""COMPUTED_VALUE"""),0.7724189814814815)</f>
        <v>0.7724189815</v>
      </c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</row>
    <row r="1679">
      <c r="A1679" s="12">
        <v>0.42</v>
      </c>
      <c r="B1679" s="12">
        <v>229.8</v>
      </c>
      <c r="C1679" s="12">
        <v>49.1</v>
      </c>
      <c r="D1679" s="12">
        <v>4.72</v>
      </c>
      <c r="E1679" s="12">
        <v>0.51</v>
      </c>
      <c r="F1679" s="12">
        <v>50.0</v>
      </c>
      <c r="G1679" s="13">
        <v>44462.77251613426</v>
      </c>
      <c r="H1679" s="14">
        <f>IFERROR(__xludf.DUMMYFUNCTION("SPLIT(G1679, "", "")"),44462.0)</f>
        <v>44462</v>
      </c>
      <c r="I1679" s="15">
        <f>IFERROR(__xludf.DUMMYFUNCTION("""COMPUTED_VALUE"""),0.7725115740740741)</f>
        <v>0.7725115741</v>
      </c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</row>
    <row r="1680">
      <c r="A1680" s="12">
        <v>0.42</v>
      </c>
      <c r="B1680" s="12">
        <v>229.6</v>
      </c>
      <c r="C1680" s="12">
        <v>48.9</v>
      </c>
      <c r="D1680" s="12">
        <v>4.72</v>
      </c>
      <c r="E1680" s="12">
        <v>0.5</v>
      </c>
      <c r="F1680" s="12">
        <v>50.0</v>
      </c>
      <c r="G1680" s="13">
        <v>44462.772618159725</v>
      </c>
      <c r="H1680" s="14">
        <f>IFERROR(__xludf.DUMMYFUNCTION("SPLIT(G1680, "", "")"),44462.0)</f>
        <v>44462</v>
      </c>
      <c r="I1680" s="15">
        <f>IFERROR(__xludf.DUMMYFUNCTION("""COMPUTED_VALUE"""),0.7726157407407407)</f>
        <v>0.7726157407</v>
      </c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</row>
    <row r="1681">
      <c r="A1681" s="12">
        <v>0.42</v>
      </c>
      <c r="B1681" s="12">
        <v>229.5</v>
      </c>
      <c r="C1681" s="12">
        <v>48.5</v>
      </c>
      <c r="D1681" s="12">
        <v>4.72</v>
      </c>
      <c r="E1681" s="12">
        <v>0.5</v>
      </c>
      <c r="F1681" s="12">
        <v>50.0</v>
      </c>
      <c r="G1681" s="13">
        <v>44462.77271975695</v>
      </c>
      <c r="H1681" s="14">
        <f>IFERROR(__xludf.DUMMYFUNCTION("SPLIT(G1681, "", "")"),44462.0)</f>
        <v>44462</v>
      </c>
      <c r="I1681" s="15">
        <f>IFERROR(__xludf.DUMMYFUNCTION("""COMPUTED_VALUE"""),0.7727199074074074)</f>
        <v>0.7727199074</v>
      </c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</row>
    <row r="1682">
      <c r="A1682" s="12">
        <v>0.41</v>
      </c>
      <c r="B1682" s="12">
        <v>229.7</v>
      </c>
      <c r="C1682" s="12">
        <v>48.4</v>
      </c>
      <c r="D1682" s="12">
        <v>4.72</v>
      </c>
      <c r="E1682" s="12">
        <v>0.51</v>
      </c>
      <c r="F1682" s="12">
        <v>50.0</v>
      </c>
      <c r="G1682" s="13">
        <v>44462.77282107639</v>
      </c>
      <c r="H1682" s="14">
        <f>IFERROR(__xludf.DUMMYFUNCTION("SPLIT(G1682, "", "")"),44462.0)</f>
        <v>44462</v>
      </c>
      <c r="I1682" s="15">
        <f>IFERROR(__xludf.DUMMYFUNCTION("""COMPUTED_VALUE"""),0.772824074074074)</f>
        <v>0.7728240741</v>
      </c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</row>
    <row r="1683">
      <c r="A1683" s="12">
        <v>0.41</v>
      </c>
      <c r="B1683" s="12">
        <v>229.6</v>
      </c>
      <c r="C1683" s="12">
        <v>48.0</v>
      </c>
      <c r="D1683" s="12">
        <v>4.72</v>
      </c>
      <c r="E1683" s="12">
        <v>0.51</v>
      </c>
      <c r="F1683" s="12">
        <v>49.9</v>
      </c>
      <c r="G1683" s="13">
        <v>44462.772927812504</v>
      </c>
      <c r="H1683" s="14">
        <f>IFERROR(__xludf.DUMMYFUNCTION("SPLIT(G1683, "", "")"),44462.0)</f>
        <v>44462</v>
      </c>
      <c r="I1683" s="15">
        <f>IFERROR(__xludf.DUMMYFUNCTION("""COMPUTED_VALUE"""),0.7729282407407407)</f>
        <v>0.7729282407</v>
      </c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</row>
    <row r="1684">
      <c r="A1684" s="12">
        <v>0.41</v>
      </c>
      <c r="B1684" s="12">
        <v>229.5</v>
      </c>
      <c r="C1684" s="12">
        <v>47.8</v>
      </c>
      <c r="D1684" s="12">
        <v>4.72</v>
      </c>
      <c r="E1684" s="12">
        <v>0.51</v>
      </c>
      <c r="F1684" s="12">
        <v>49.9</v>
      </c>
      <c r="G1684" s="13">
        <v>44462.77303733796</v>
      </c>
      <c r="H1684" s="14">
        <f>IFERROR(__xludf.DUMMYFUNCTION("SPLIT(G1684, "", "")"),44462.0)</f>
        <v>44462</v>
      </c>
      <c r="I1684" s="15">
        <f>IFERROR(__xludf.DUMMYFUNCTION("""COMPUTED_VALUE"""),0.7730324074074074)</f>
        <v>0.7730324074</v>
      </c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</row>
    <row r="1685">
      <c r="A1685" s="12">
        <v>0.41</v>
      </c>
      <c r="B1685" s="12">
        <v>229.5</v>
      </c>
      <c r="C1685" s="12">
        <v>47.5</v>
      </c>
      <c r="D1685" s="12">
        <v>4.72</v>
      </c>
      <c r="E1685" s="12">
        <v>0.5</v>
      </c>
      <c r="F1685" s="12">
        <v>49.9</v>
      </c>
      <c r="G1685" s="13">
        <v>44462.773152118054</v>
      </c>
      <c r="H1685" s="14">
        <f>IFERROR(__xludf.DUMMYFUNCTION("SPLIT(G1685, "", "")"),44462.0)</f>
        <v>44462</v>
      </c>
      <c r="I1685" s="15">
        <f>IFERROR(__xludf.DUMMYFUNCTION("""COMPUTED_VALUE"""),0.7731481481481481)</f>
        <v>0.7731481481</v>
      </c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</row>
    <row r="1686">
      <c r="A1686" s="12">
        <v>0.41</v>
      </c>
      <c r="B1686" s="12">
        <v>229.5</v>
      </c>
      <c r="C1686" s="12">
        <v>47.4</v>
      </c>
      <c r="D1686" s="12">
        <v>4.72</v>
      </c>
      <c r="E1686" s="12">
        <v>0.5</v>
      </c>
      <c r="F1686" s="12">
        <v>50.0</v>
      </c>
      <c r="G1686" s="13">
        <v>44462.773262048606</v>
      </c>
      <c r="H1686" s="14">
        <f>IFERROR(__xludf.DUMMYFUNCTION("SPLIT(G1686, "", "")"),44462.0)</f>
        <v>44462</v>
      </c>
      <c r="I1686" s="15">
        <f>IFERROR(__xludf.DUMMYFUNCTION("""COMPUTED_VALUE"""),0.7732638888888889)</f>
        <v>0.7732638889</v>
      </c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</row>
    <row r="1687">
      <c r="A1687" s="12">
        <v>0.41</v>
      </c>
      <c r="B1687" s="12">
        <v>229.5</v>
      </c>
      <c r="C1687" s="12">
        <v>47.0</v>
      </c>
      <c r="D1687" s="12">
        <v>4.72</v>
      </c>
      <c r="E1687" s="12">
        <v>0.5</v>
      </c>
      <c r="F1687" s="12">
        <v>50.0</v>
      </c>
      <c r="G1687" s="13">
        <v>44462.77336986111</v>
      </c>
      <c r="H1687" s="14">
        <f>IFERROR(__xludf.DUMMYFUNCTION("SPLIT(G1687, "", "")"),44462.0)</f>
        <v>44462</v>
      </c>
      <c r="I1687" s="15">
        <f>IFERROR(__xludf.DUMMYFUNCTION("""COMPUTED_VALUE"""),0.7733680555555555)</f>
        <v>0.7733680556</v>
      </c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</row>
    <row r="1688">
      <c r="A1688" s="12">
        <v>0.41</v>
      </c>
      <c r="B1688" s="12">
        <v>229.5</v>
      </c>
      <c r="C1688" s="12">
        <v>46.7</v>
      </c>
      <c r="D1688" s="12">
        <v>4.72</v>
      </c>
      <c r="E1688" s="12">
        <v>0.5</v>
      </c>
      <c r="F1688" s="12">
        <v>50.0</v>
      </c>
      <c r="G1688" s="13">
        <v>44462.77347630787</v>
      </c>
      <c r="H1688" s="14">
        <f>IFERROR(__xludf.DUMMYFUNCTION("SPLIT(G1688, "", "")"),44462.0)</f>
        <v>44462</v>
      </c>
      <c r="I1688" s="15">
        <f>IFERROR(__xludf.DUMMYFUNCTION("""COMPUTED_VALUE"""),0.7734722222222222)</f>
        <v>0.7734722222</v>
      </c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</row>
    <row r="1689">
      <c r="A1689" s="12">
        <v>0.4</v>
      </c>
      <c r="B1689" s="12">
        <v>229.5</v>
      </c>
      <c r="C1689" s="12">
        <v>46.4</v>
      </c>
      <c r="D1689" s="12">
        <v>4.72</v>
      </c>
      <c r="E1689" s="12">
        <v>0.5</v>
      </c>
      <c r="F1689" s="12">
        <v>50.0</v>
      </c>
      <c r="G1689" s="13">
        <v>44462.77358230324</v>
      </c>
      <c r="H1689" s="14">
        <f>IFERROR(__xludf.DUMMYFUNCTION("SPLIT(G1689, "", "")"),44462.0)</f>
        <v>44462</v>
      </c>
      <c r="I1689" s="15">
        <f>IFERROR(__xludf.DUMMYFUNCTION("""COMPUTED_VALUE"""),0.773587962962963)</f>
        <v>0.773587963</v>
      </c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</row>
    <row r="1690">
      <c r="A1690" s="12">
        <v>0.4</v>
      </c>
      <c r="B1690" s="12">
        <v>229.6</v>
      </c>
      <c r="C1690" s="12">
        <v>46.3</v>
      </c>
      <c r="D1690" s="12">
        <v>4.72</v>
      </c>
      <c r="E1690" s="12">
        <v>0.5</v>
      </c>
      <c r="F1690" s="12">
        <v>50.0</v>
      </c>
      <c r="G1690" s="13">
        <v>44462.7736821875</v>
      </c>
      <c r="H1690" s="14">
        <f>IFERROR(__xludf.DUMMYFUNCTION("SPLIT(G1690, "", "")"),44462.0)</f>
        <v>44462</v>
      </c>
      <c r="I1690" s="15">
        <f>IFERROR(__xludf.DUMMYFUNCTION("""COMPUTED_VALUE"""),0.7736805555555556)</f>
        <v>0.7736805556</v>
      </c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</row>
    <row r="1691">
      <c r="A1691" s="12">
        <v>0.4</v>
      </c>
      <c r="B1691" s="12">
        <v>229.7</v>
      </c>
      <c r="C1691" s="12">
        <v>46.1</v>
      </c>
      <c r="D1691" s="12">
        <v>4.72</v>
      </c>
      <c r="E1691" s="12">
        <v>0.5</v>
      </c>
      <c r="F1691" s="12">
        <v>50.0</v>
      </c>
      <c r="G1691" s="13">
        <v>44462.773782372686</v>
      </c>
      <c r="H1691" s="14">
        <f>IFERROR(__xludf.DUMMYFUNCTION("SPLIT(G1691, "", "")"),44462.0)</f>
        <v>44462</v>
      </c>
      <c r="I1691" s="15">
        <f>IFERROR(__xludf.DUMMYFUNCTION("""COMPUTED_VALUE"""),0.7737847222222223)</f>
        <v>0.7737847222</v>
      </c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</row>
    <row r="1692">
      <c r="A1692" s="12">
        <v>0.4</v>
      </c>
      <c r="B1692" s="12">
        <v>229.7</v>
      </c>
      <c r="C1692" s="12">
        <v>46.0</v>
      </c>
      <c r="D1692" s="12">
        <v>4.72</v>
      </c>
      <c r="E1692" s="12">
        <v>0.5</v>
      </c>
      <c r="F1692" s="12">
        <v>50.0</v>
      </c>
      <c r="G1692" s="13">
        <v>44462.77388439815</v>
      </c>
      <c r="H1692" s="14">
        <f>IFERROR(__xludf.DUMMYFUNCTION("SPLIT(G1692, "", "")"),44462.0)</f>
        <v>44462</v>
      </c>
      <c r="I1692" s="15">
        <f>IFERROR(__xludf.DUMMYFUNCTION("""COMPUTED_VALUE"""),0.7738888888888888)</f>
        <v>0.7738888889</v>
      </c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</row>
    <row r="1693">
      <c r="A1693" s="12">
        <v>0.4</v>
      </c>
      <c r="B1693" s="12">
        <v>229.6</v>
      </c>
      <c r="C1693" s="12">
        <v>45.6</v>
      </c>
      <c r="D1693" s="12">
        <v>4.72</v>
      </c>
      <c r="E1693" s="12">
        <v>0.5</v>
      </c>
      <c r="F1693" s="12">
        <v>50.0</v>
      </c>
      <c r="G1693" s="13">
        <v>44462.77398628472</v>
      </c>
      <c r="H1693" s="14">
        <f>IFERROR(__xludf.DUMMYFUNCTION("SPLIT(G1693, "", "")"),44462.0)</f>
        <v>44462</v>
      </c>
      <c r="I1693" s="15">
        <f>IFERROR(__xludf.DUMMYFUNCTION("""COMPUTED_VALUE"""),0.7739814814814815)</f>
        <v>0.7739814815</v>
      </c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</row>
    <row r="1694">
      <c r="A1694" s="12">
        <v>0.39</v>
      </c>
      <c r="B1694" s="12">
        <v>229.6</v>
      </c>
      <c r="C1694" s="12">
        <v>45.3</v>
      </c>
      <c r="D1694" s="12">
        <v>4.72</v>
      </c>
      <c r="E1694" s="12">
        <v>0.5</v>
      </c>
      <c r="F1694" s="12">
        <v>50.0</v>
      </c>
      <c r="G1694" s="13">
        <v>44462.774087488426</v>
      </c>
      <c r="H1694" s="14">
        <f>IFERROR(__xludf.DUMMYFUNCTION("SPLIT(G1694, "", "")"),44462.0)</f>
        <v>44462</v>
      </c>
      <c r="I1694" s="15">
        <f>IFERROR(__xludf.DUMMYFUNCTION("""COMPUTED_VALUE"""),0.7740856481481482)</f>
        <v>0.7740856481</v>
      </c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</row>
    <row r="1695">
      <c r="A1695" s="12">
        <v>0.39</v>
      </c>
      <c r="B1695" s="12">
        <v>229.5</v>
      </c>
      <c r="C1695" s="12">
        <v>45.1</v>
      </c>
      <c r="D1695" s="12">
        <v>4.72</v>
      </c>
      <c r="E1695" s="12">
        <v>0.5</v>
      </c>
      <c r="F1695" s="12">
        <v>49.9</v>
      </c>
      <c r="G1695" s="13">
        <v>44462.77419645833</v>
      </c>
      <c r="H1695" s="14">
        <f>IFERROR(__xludf.DUMMYFUNCTION("SPLIT(G1695, "", "")"),44462.0)</f>
        <v>44462</v>
      </c>
      <c r="I1695" s="15">
        <f>IFERROR(__xludf.DUMMYFUNCTION("""COMPUTED_VALUE"""),0.7742013888888889)</f>
        <v>0.7742013889</v>
      </c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</row>
    <row r="1696">
      <c r="A1696" s="12">
        <v>0.4</v>
      </c>
      <c r="B1696" s="12">
        <v>229.3</v>
      </c>
      <c r="C1696" s="12">
        <v>45.0</v>
      </c>
      <c r="D1696" s="12">
        <v>4.72</v>
      </c>
      <c r="E1696" s="12">
        <v>0.49</v>
      </c>
      <c r="F1696" s="12">
        <v>50.0</v>
      </c>
      <c r="G1696" s="13">
        <v>44462.7743018287</v>
      </c>
      <c r="H1696" s="14">
        <f>IFERROR(__xludf.DUMMYFUNCTION("SPLIT(G1696, "", "")"),44462.0)</f>
        <v>44462</v>
      </c>
      <c r="I1696" s="15">
        <f>IFERROR(__xludf.DUMMYFUNCTION("""COMPUTED_VALUE"""),0.7743055555555556)</f>
        <v>0.7743055556</v>
      </c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</row>
    <row r="1697">
      <c r="A1697" s="12">
        <v>0.39</v>
      </c>
      <c r="B1697" s="12">
        <v>229.3</v>
      </c>
      <c r="C1697" s="12">
        <v>44.6</v>
      </c>
      <c r="D1697" s="12">
        <v>4.72</v>
      </c>
      <c r="E1697" s="12">
        <v>0.49</v>
      </c>
      <c r="F1697" s="12">
        <v>50.0</v>
      </c>
      <c r="G1697" s="13">
        <v>44462.77440231481</v>
      </c>
      <c r="H1697" s="14">
        <f>IFERROR(__xludf.DUMMYFUNCTION("SPLIT(G1697, "", "")"),44462.0)</f>
        <v>44462</v>
      </c>
      <c r="I1697" s="15">
        <f>IFERROR(__xludf.DUMMYFUNCTION("""COMPUTED_VALUE"""),0.7743981481481481)</f>
        <v>0.7743981481</v>
      </c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</row>
    <row r="1698">
      <c r="A1698" s="12">
        <v>0.39</v>
      </c>
      <c r="B1698" s="12">
        <v>229.4</v>
      </c>
      <c r="C1698" s="12">
        <v>44.3</v>
      </c>
      <c r="D1698" s="12">
        <v>4.72</v>
      </c>
      <c r="E1698" s="12">
        <v>0.5</v>
      </c>
      <c r="F1698" s="12">
        <v>50.0</v>
      </c>
      <c r="G1698" s="13">
        <v>44462.774503402776</v>
      </c>
      <c r="H1698" s="14">
        <f>IFERROR(__xludf.DUMMYFUNCTION("SPLIT(G1698, "", "")"),44462.0)</f>
        <v>44462</v>
      </c>
      <c r="I1698" s="15">
        <f>IFERROR(__xludf.DUMMYFUNCTION("""COMPUTED_VALUE"""),0.7745023148148148)</f>
        <v>0.7745023148</v>
      </c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</row>
    <row r="1699">
      <c r="A1699" s="12">
        <v>0.39</v>
      </c>
      <c r="B1699" s="12">
        <v>229.6</v>
      </c>
      <c r="C1699" s="12">
        <v>44.3</v>
      </c>
      <c r="D1699" s="12">
        <v>4.72</v>
      </c>
      <c r="E1699" s="12">
        <v>0.5</v>
      </c>
      <c r="F1699" s="12">
        <v>50.0</v>
      </c>
      <c r="G1699" s="13">
        <v>44462.77460752315</v>
      </c>
      <c r="H1699" s="14">
        <f>IFERROR(__xludf.DUMMYFUNCTION("SPLIT(G1699, "", "")"),44462.0)</f>
        <v>44462</v>
      </c>
      <c r="I1699" s="15">
        <f>IFERROR(__xludf.DUMMYFUNCTION("""COMPUTED_VALUE"""),0.7746064814814815)</f>
        <v>0.7746064815</v>
      </c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</row>
    <row r="1700">
      <c r="A1700" s="12">
        <v>0.39</v>
      </c>
      <c r="B1700" s="12">
        <v>229.8</v>
      </c>
      <c r="C1700" s="12">
        <v>44.0</v>
      </c>
      <c r="D1700" s="12">
        <v>4.72</v>
      </c>
      <c r="E1700" s="12">
        <v>0.5</v>
      </c>
      <c r="F1700" s="12">
        <v>50.0</v>
      </c>
      <c r="G1700" s="13">
        <v>44462.774717002314</v>
      </c>
      <c r="H1700" s="14">
        <f>IFERROR(__xludf.DUMMYFUNCTION("SPLIT(G1700, "", "")"),44462.0)</f>
        <v>44462</v>
      </c>
      <c r="I1700" s="15">
        <f>IFERROR(__xludf.DUMMYFUNCTION("""COMPUTED_VALUE"""),0.7747222222222222)</f>
        <v>0.7747222222</v>
      </c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</row>
    <row r="1701">
      <c r="A1701" s="12">
        <v>0.38</v>
      </c>
      <c r="B1701" s="12">
        <v>230.2</v>
      </c>
      <c r="C1701" s="12">
        <v>43.9</v>
      </c>
      <c r="D1701" s="12">
        <v>4.72</v>
      </c>
      <c r="E1701" s="12">
        <v>0.5</v>
      </c>
      <c r="F1701" s="12">
        <v>50.0</v>
      </c>
      <c r="G1701" s="13">
        <v>44462.774818969905</v>
      </c>
      <c r="H1701" s="14">
        <f>IFERROR(__xludf.DUMMYFUNCTION("SPLIT(G1701, "", "")"),44462.0)</f>
        <v>44462</v>
      </c>
      <c r="I1701" s="15">
        <f>IFERROR(__xludf.DUMMYFUNCTION("""COMPUTED_VALUE"""),0.7748148148148148)</f>
        <v>0.7748148148</v>
      </c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</row>
    <row r="1702">
      <c r="A1702" s="12">
        <v>0.38</v>
      </c>
      <c r="B1702" s="12">
        <v>230.2</v>
      </c>
      <c r="C1702" s="12">
        <v>43.7</v>
      </c>
      <c r="D1702" s="12">
        <v>4.72</v>
      </c>
      <c r="E1702" s="12">
        <v>0.5</v>
      </c>
      <c r="F1702" s="12">
        <v>50.0</v>
      </c>
      <c r="G1702" s="13">
        <v>44462.77491736111</v>
      </c>
      <c r="H1702" s="14">
        <f>IFERROR(__xludf.DUMMYFUNCTION("SPLIT(G1702, "", "")"),44462.0)</f>
        <v>44462</v>
      </c>
      <c r="I1702" s="15">
        <f>IFERROR(__xludf.DUMMYFUNCTION("""COMPUTED_VALUE"""),0.7749189814814815)</f>
        <v>0.7749189815</v>
      </c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</row>
    <row r="1703">
      <c r="A1703" s="12">
        <v>0.38</v>
      </c>
      <c r="B1703" s="12">
        <v>229.9</v>
      </c>
      <c r="C1703" s="12">
        <v>43.4</v>
      </c>
      <c r="D1703" s="12">
        <v>4.72</v>
      </c>
      <c r="E1703" s="12">
        <v>0.5</v>
      </c>
      <c r="F1703" s="12">
        <v>50.0</v>
      </c>
      <c r="G1703" s="13">
        <v>44462.77501780093</v>
      </c>
      <c r="H1703" s="14">
        <f>IFERROR(__xludf.DUMMYFUNCTION("SPLIT(G1703, "", "")"),44462.0)</f>
        <v>44462</v>
      </c>
      <c r="I1703" s="15">
        <f>IFERROR(__xludf.DUMMYFUNCTION("""COMPUTED_VALUE"""),0.7750231481481481)</f>
        <v>0.7750231481</v>
      </c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</row>
    <row r="1704">
      <c r="A1704" s="12">
        <v>0.38</v>
      </c>
      <c r="B1704" s="12">
        <v>229.9</v>
      </c>
      <c r="C1704" s="12">
        <v>43.1</v>
      </c>
      <c r="D1704" s="12">
        <v>4.72</v>
      </c>
      <c r="E1704" s="12">
        <v>0.5</v>
      </c>
      <c r="F1704" s="12">
        <v>50.0</v>
      </c>
      <c r="G1704" s="13">
        <v>44462.775119432874</v>
      </c>
      <c r="H1704" s="14">
        <f>IFERROR(__xludf.DUMMYFUNCTION("SPLIT(G1704, "", "")"),44462.0)</f>
        <v>44462</v>
      </c>
      <c r="I1704" s="15">
        <f>IFERROR(__xludf.DUMMYFUNCTION("""COMPUTED_VALUE"""),0.7751157407407407)</f>
        <v>0.7751157407</v>
      </c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</row>
    <row r="1705">
      <c r="A1705" s="12">
        <v>0.38</v>
      </c>
      <c r="B1705" s="12">
        <v>229.9</v>
      </c>
      <c r="C1705" s="12">
        <v>43.2</v>
      </c>
      <c r="D1705" s="12">
        <v>4.72</v>
      </c>
      <c r="E1705" s="12">
        <v>0.5</v>
      </c>
      <c r="F1705" s="12">
        <v>50.0</v>
      </c>
      <c r="G1705" s="13">
        <v>44462.77522084491</v>
      </c>
      <c r="H1705" s="14">
        <f>IFERROR(__xludf.DUMMYFUNCTION("SPLIT(G1705, "", "")"),44462.0)</f>
        <v>44462</v>
      </c>
      <c r="I1705" s="15">
        <f>IFERROR(__xludf.DUMMYFUNCTION("""COMPUTED_VALUE"""),0.7752199074074074)</f>
        <v>0.7752199074</v>
      </c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</row>
    <row r="1706">
      <c r="A1706" s="12">
        <v>0.37</v>
      </c>
      <c r="B1706" s="12">
        <v>229.7</v>
      </c>
      <c r="C1706" s="12">
        <v>42.8</v>
      </c>
      <c r="D1706" s="12">
        <v>4.72</v>
      </c>
      <c r="E1706" s="12">
        <v>0.5</v>
      </c>
      <c r="F1706" s="12">
        <v>50.0</v>
      </c>
      <c r="G1706" s="13">
        <v>44462.77532703704</v>
      </c>
      <c r="H1706" s="14">
        <f>IFERROR(__xludf.DUMMYFUNCTION("SPLIT(G1706, "", "")"),44462.0)</f>
        <v>44462</v>
      </c>
      <c r="I1706" s="15">
        <f>IFERROR(__xludf.DUMMYFUNCTION("""COMPUTED_VALUE"""),0.7753240740740741)</f>
        <v>0.7753240741</v>
      </c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</row>
    <row r="1707">
      <c r="A1707" s="12">
        <v>0.37</v>
      </c>
      <c r="B1707" s="12">
        <v>229.8</v>
      </c>
      <c r="C1707" s="12">
        <v>42.7</v>
      </c>
      <c r="D1707" s="12">
        <v>4.72</v>
      </c>
      <c r="E1707" s="12">
        <v>0.5</v>
      </c>
      <c r="F1707" s="12">
        <v>49.9</v>
      </c>
      <c r="G1707" s="13">
        <v>44462.775436875</v>
      </c>
      <c r="H1707" s="14">
        <f>IFERROR(__xludf.DUMMYFUNCTION("SPLIT(G1707, "", "")"),44462.0)</f>
        <v>44462</v>
      </c>
      <c r="I1707" s="15">
        <f>IFERROR(__xludf.DUMMYFUNCTION("""COMPUTED_VALUE"""),0.7754398148148148)</f>
        <v>0.7754398148</v>
      </c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</row>
    <row r="1708">
      <c r="A1708" s="12">
        <v>0.37</v>
      </c>
      <c r="B1708" s="12">
        <v>230.0</v>
      </c>
      <c r="C1708" s="12">
        <v>42.2</v>
      </c>
      <c r="D1708" s="12">
        <v>4.72</v>
      </c>
      <c r="E1708" s="12">
        <v>0.5</v>
      </c>
      <c r="F1708" s="12">
        <v>50.0</v>
      </c>
      <c r="G1708" s="13">
        <v>44462.77554935185</v>
      </c>
      <c r="H1708" s="14">
        <f>IFERROR(__xludf.DUMMYFUNCTION("SPLIT(G1708, "", "")"),44462.0)</f>
        <v>44462</v>
      </c>
      <c r="I1708" s="15">
        <f>IFERROR(__xludf.DUMMYFUNCTION("""COMPUTED_VALUE"""),0.7755439814814815)</f>
        <v>0.7755439815</v>
      </c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</row>
    <row r="1709">
      <c r="A1709" s="12">
        <v>0.37</v>
      </c>
      <c r="B1709" s="12">
        <v>230.0</v>
      </c>
      <c r="C1709" s="12">
        <v>42.0</v>
      </c>
      <c r="D1709" s="12">
        <v>4.72</v>
      </c>
      <c r="E1709" s="12">
        <v>0.5</v>
      </c>
      <c r="F1709" s="12">
        <v>50.0</v>
      </c>
      <c r="G1709" s="13">
        <v>44462.775651793985</v>
      </c>
      <c r="H1709" s="14">
        <f>IFERROR(__xludf.DUMMYFUNCTION("SPLIT(G1709, "", "")"),44462.0)</f>
        <v>44462</v>
      </c>
      <c r="I1709" s="15">
        <f>IFERROR(__xludf.DUMMYFUNCTION("""COMPUTED_VALUE"""),0.7756481481481482)</f>
        <v>0.7756481481</v>
      </c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</row>
    <row r="1710">
      <c r="A1710" s="12">
        <v>0.37</v>
      </c>
      <c r="B1710" s="12">
        <v>230.0</v>
      </c>
      <c r="C1710" s="12">
        <v>41.8</v>
      </c>
      <c r="D1710" s="12">
        <v>4.72</v>
      </c>
      <c r="E1710" s="12">
        <v>0.5</v>
      </c>
      <c r="F1710" s="12">
        <v>50.0</v>
      </c>
      <c r="G1710" s="13">
        <v>44462.77575850695</v>
      </c>
      <c r="H1710" s="14">
        <f>IFERROR(__xludf.DUMMYFUNCTION("SPLIT(G1710, "", "")"),44462.0)</f>
        <v>44462</v>
      </c>
      <c r="I1710" s="15">
        <f>IFERROR(__xludf.DUMMYFUNCTION("""COMPUTED_VALUE"""),0.7757638888888889)</f>
        <v>0.7757638889</v>
      </c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</row>
    <row r="1711">
      <c r="A1711" s="12">
        <v>0.36</v>
      </c>
      <c r="B1711" s="12">
        <v>229.8</v>
      </c>
      <c r="C1711" s="12">
        <v>41.5</v>
      </c>
      <c r="D1711" s="12">
        <v>4.72</v>
      </c>
      <c r="E1711" s="12">
        <v>0.5</v>
      </c>
      <c r="F1711" s="12">
        <v>50.0</v>
      </c>
      <c r="G1711" s="13">
        <v>44462.77586112269</v>
      </c>
      <c r="H1711" s="14">
        <f>IFERROR(__xludf.DUMMYFUNCTION("SPLIT(G1711, "", "")"),44462.0)</f>
        <v>44462</v>
      </c>
      <c r="I1711" s="15">
        <f>IFERROR(__xludf.DUMMYFUNCTION("""COMPUTED_VALUE"""),0.7758564814814815)</f>
        <v>0.7758564815</v>
      </c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</row>
    <row r="1712">
      <c r="A1712" s="12">
        <v>0.36</v>
      </c>
      <c r="B1712" s="12">
        <v>230.0</v>
      </c>
      <c r="C1712" s="12">
        <v>41.4</v>
      </c>
      <c r="D1712" s="12">
        <v>4.72</v>
      </c>
      <c r="E1712" s="12">
        <v>0.5</v>
      </c>
      <c r="F1712" s="12">
        <v>50.0</v>
      </c>
      <c r="G1712" s="13">
        <v>44462.77596038194</v>
      </c>
      <c r="H1712" s="14">
        <f>IFERROR(__xludf.DUMMYFUNCTION("SPLIT(G1712, "", "")"),44462.0)</f>
        <v>44462</v>
      </c>
      <c r="I1712" s="15">
        <f>IFERROR(__xludf.DUMMYFUNCTION("""COMPUTED_VALUE"""),0.7759606481481481)</f>
        <v>0.7759606481</v>
      </c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</row>
    <row r="1713">
      <c r="A1713" s="12">
        <v>0.36</v>
      </c>
      <c r="B1713" s="12">
        <v>230.0</v>
      </c>
      <c r="C1713" s="12">
        <v>41.2</v>
      </c>
      <c r="D1713" s="12">
        <v>4.72</v>
      </c>
      <c r="E1713" s="12">
        <v>0.49</v>
      </c>
      <c r="F1713" s="12">
        <v>50.0</v>
      </c>
      <c r="G1713" s="13">
        <v>44462.776062488425</v>
      </c>
      <c r="H1713" s="14">
        <f>IFERROR(__xludf.DUMMYFUNCTION("SPLIT(G1713, "", "")"),44462.0)</f>
        <v>44462</v>
      </c>
      <c r="I1713" s="15">
        <f>IFERROR(__xludf.DUMMYFUNCTION("""COMPUTED_VALUE"""),0.7760648148148148)</f>
        <v>0.7760648148</v>
      </c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</row>
    <row r="1714">
      <c r="A1714" s="12">
        <v>0.36</v>
      </c>
      <c r="B1714" s="12">
        <v>230.1</v>
      </c>
      <c r="C1714" s="12">
        <v>40.9</v>
      </c>
      <c r="D1714" s="12">
        <v>4.72</v>
      </c>
      <c r="E1714" s="12">
        <v>0.5</v>
      </c>
      <c r="F1714" s="12">
        <v>50.0</v>
      </c>
      <c r="G1714" s="13">
        <v>44462.77616302083</v>
      </c>
      <c r="H1714" s="14">
        <f>IFERROR(__xludf.DUMMYFUNCTION("SPLIT(G1714, "", "")"),44462.0)</f>
        <v>44462</v>
      </c>
      <c r="I1714" s="15">
        <f>IFERROR(__xludf.DUMMYFUNCTION("""COMPUTED_VALUE"""),0.7761574074074075)</f>
        <v>0.7761574074</v>
      </c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</row>
    <row r="1715">
      <c r="A1715" s="12">
        <v>0.36</v>
      </c>
      <c r="B1715" s="12">
        <v>230.1</v>
      </c>
      <c r="C1715" s="12">
        <v>40.8</v>
      </c>
      <c r="D1715" s="12">
        <v>4.72</v>
      </c>
      <c r="E1715" s="12">
        <v>0.5</v>
      </c>
      <c r="F1715" s="12">
        <v>50.0</v>
      </c>
      <c r="G1715" s="13">
        <v>44462.7762628125</v>
      </c>
      <c r="H1715" s="14">
        <f>IFERROR(__xludf.DUMMYFUNCTION("SPLIT(G1715, "", "")"),44462.0)</f>
        <v>44462</v>
      </c>
      <c r="I1715" s="15">
        <f>IFERROR(__xludf.DUMMYFUNCTION("""COMPUTED_VALUE"""),0.776261574074074)</f>
        <v>0.7762615741</v>
      </c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</row>
    <row r="1716">
      <c r="A1716" s="12">
        <v>0.35</v>
      </c>
      <c r="B1716" s="12">
        <v>230.1</v>
      </c>
      <c r="C1716" s="12">
        <v>40.5</v>
      </c>
      <c r="D1716" s="12">
        <v>4.72</v>
      </c>
      <c r="E1716" s="12">
        <v>0.5</v>
      </c>
      <c r="F1716" s="12">
        <v>49.9</v>
      </c>
      <c r="G1716" s="13">
        <v>44462.776366886574</v>
      </c>
      <c r="H1716" s="14">
        <f>IFERROR(__xludf.DUMMYFUNCTION("SPLIT(G1716, "", "")"),44462.0)</f>
        <v>44462</v>
      </c>
      <c r="I1716" s="15">
        <f>IFERROR(__xludf.DUMMYFUNCTION("""COMPUTED_VALUE"""),0.7763657407407407)</f>
        <v>0.7763657407</v>
      </c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</row>
    <row r="1717">
      <c r="A1717" s="12">
        <v>0.35</v>
      </c>
      <c r="B1717" s="12">
        <v>230.0</v>
      </c>
      <c r="C1717" s="12">
        <v>40.2</v>
      </c>
      <c r="D1717" s="12">
        <v>4.72</v>
      </c>
      <c r="E1717" s="12">
        <v>0.5</v>
      </c>
      <c r="F1717" s="12">
        <v>49.9</v>
      </c>
      <c r="G1717" s="13">
        <v>44462.77647611111</v>
      </c>
      <c r="H1717" s="14">
        <f>IFERROR(__xludf.DUMMYFUNCTION("SPLIT(G1717, "", "")"),44462.0)</f>
        <v>44462</v>
      </c>
      <c r="I1717" s="15">
        <f>IFERROR(__xludf.DUMMYFUNCTION("""COMPUTED_VALUE"""),0.7764814814814814)</f>
        <v>0.7764814815</v>
      </c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</row>
    <row r="1718">
      <c r="A1718" s="12">
        <v>0.35</v>
      </c>
      <c r="B1718" s="12">
        <v>230.1</v>
      </c>
      <c r="C1718" s="12">
        <v>40.2</v>
      </c>
      <c r="D1718" s="12">
        <v>4.72</v>
      </c>
      <c r="E1718" s="12">
        <v>0.5</v>
      </c>
      <c r="F1718" s="12">
        <v>50.0</v>
      </c>
      <c r="G1718" s="13">
        <v>44462.77657505787</v>
      </c>
      <c r="H1718" s="14">
        <f>IFERROR(__xludf.DUMMYFUNCTION("SPLIT(G1718, "", "")"),44462.0)</f>
        <v>44462</v>
      </c>
      <c r="I1718" s="15">
        <f>IFERROR(__xludf.DUMMYFUNCTION("""COMPUTED_VALUE"""),0.7765740740740741)</f>
        <v>0.7765740741</v>
      </c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</row>
    <row r="1719">
      <c r="A1719" s="12">
        <v>0.35</v>
      </c>
      <c r="B1719" s="12">
        <v>230.0</v>
      </c>
      <c r="C1719" s="12">
        <v>39.9</v>
      </c>
      <c r="D1719" s="12">
        <v>4.72</v>
      </c>
      <c r="E1719" s="12">
        <v>0.5</v>
      </c>
      <c r="F1719" s="12">
        <v>49.9</v>
      </c>
      <c r="G1719" s="13">
        <v>44462.776673796296</v>
      </c>
      <c r="H1719" s="14">
        <f>IFERROR(__xludf.DUMMYFUNCTION("SPLIT(G1719, "", "")"),44462.0)</f>
        <v>44462</v>
      </c>
      <c r="I1719" s="15">
        <f>IFERROR(__xludf.DUMMYFUNCTION("""COMPUTED_VALUE"""),0.7766782407407408)</f>
        <v>0.7766782407</v>
      </c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</row>
    <row r="1720">
      <c r="A1720" s="12">
        <v>0.35</v>
      </c>
      <c r="B1720" s="12">
        <v>230.2</v>
      </c>
      <c r="C1720" s="12">
        <v>39.9</v>
      </c>
      <c r="D1720" s="12">
        <v>4.72</v>
      </c>
      <c r="E1720" s="12">
        <v>0.5</v>
      </c>
      <c r="F1720" s="12">
        <v>50.0</v>
      </c>
      <c r="G1720" s="13">
        <v>44462.776804629626</v>
      </c>
      <c r="H1720" s="14">
        <f>IFERROR(__xludf.DUMMYFUNCTION("SPLIT(G1720, "", "")"),44462.0)</f>
        <v>44462</v>
      </c>
      <c r="I1720" s="15">
        <f>IFERROR(__xludf.DUMMYFUNCTION("""COMPUTED_VALUE"""),0.7768055555555555)</f>
        <v>0.7768055556</v>
      </c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</row>
    <row r="1721">
      <c r="A1721" s="12">
        <v>0.35</v>
      </c>
      <c r="B1721" s="12">
        <v>230.2</v>
      </c>
      <c r="C1721" s="12">
        <v>39.6</v>
      </c>
      <c r="D1721" s="12">
        <v>4.72</v>
      </c>
      <c r="E1721" s="12">
        <v>0.49</v>
      </c>
      <c r="F1721" s="12">
        <v>50.0</v>
      </c>
      <c r="G1721" s="13">
        <v>44462.776907719905</v>
      </c>
      <c r="H1721" s="14">
        <f>IFERROR(__xludf.DUMMYFUNCTION("SPLIT(G1721, "", "")"),44462.0)</f>
        <v>44462</v>
      </c>
      <c r="I1721" s="15">
        <f>IFERROR(__xludf.DUMMYFUNCTION("""COMPUTED_VALUE"""),0.7769097222222222)</f>
        <v>0.7769097222</v>
      </c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</row>
    <row r="1722">
      <c r="A1722" s="12">
        <v>0.35</v>
      </c>
      <c r="B1722" s="12">
        <v>230.3</v>
      </c>
      <c r="C1722" s="12">
        <v>39.3</v>
      </c>
      <c r="D1722" s="12">
        <v>4.72</v>
      </c>
      <c r="E1722" s="12">
        <v>0.49</v>
      </c>
      <c r="F1722" s="12">
        <v>50.0</v>
      </c>
      <c r="G1722" s="13">
        <v>44462.777011412036</v>
      </c>
      <c r="H1722" s="14">
        <f>IFERROR(__xludf.DUMMYFUNCTION("SPLIT(G1722, "", "")"),44462.0)</f>
        <v>44462</v>
      </c>
      <c r="I1722" s="15">
        <f>IFERROR(__xludf.DUMMYFUNCTION("""COMPUTED_VALUE"""),0.7770138888888889)</f>
        <v>0.7770138889</v>
      </c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</row>
    <row r="1723">
      <c r="A1723" s="12">
        <v>0.34</v>
      </c>
      <c r="B1723" s="12">
        <v>230.3</v>
      </c>
      <c r="C1723" s="12">
        <v>39.1</v>
      </c>
      <c r="D1723" s="12">
        <v>4.72</v>
      </c>
      <c r="E1723" s="12">
        <v>0.49</v>
      </c>
      <c r="F1723" s="12">
        <v>50.0</v>
      </c>
      <c r="G1723" s="13">
        <v>44462.77711553241</v>
      </c>
      <c r="H1723" s="14">
        <f>IFERROR(__xludf.DUMMYFUNCTION("SPLIT(G1723, "", "")"),44462.0)</f>
        <v>44462</v>
      </c>
      <c r="I1723" s="15">
        <f>IFERROR(__xludf.DUMMYFUNCTION("""COMPUTED_VALUE"""),0.7771180555555556)</f>
        <v>0.7771180556</v>
      </c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</row>
    <row r="1724">
      <c r="A1724" s="12">
        <v>0.34</v>
      </c>
      <c r="B1724" s="12">
        <v>230.3</v>
      </c>
      <c r="C1724" s="12">
        <v>38.8</v>
      </c>
      <c r="D1724" s="12">
        <v>4.72</v>
      </c>
      <c r="E1724" s="12">
        <v>0.49</v>
      </c>
      <c r="F1724" s="12">
        <v>50.0</v>
      </c>
      <c r="G1724" s="13">
        <v>44462.77721645833</v>
      </c>
      <c r="H1724" s="14">
        <f>IFERROR(__xludf.DUMMYFUNCTION("SPLIT(G1724, "", "")"),44462.0)</f>
        <v>44462</v>
      </c>
      <c r="I1724" s="15">
        <f>IFERROR(__xludf.DUMMYFUNCTION("""COMPUTED_VALUE"""),0.7772222222222223)</f>
        <v>0.7772222222</v>
      </c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</row>
    <row r="1725">
      <c r="A1725" s="12">
        <v>0.34</v>
      </c>
      <c r="B1725" s="12">
        <v>230.3</v>
      </c>
      <c r="C1725" s="12">
        <v>38.6</v>
      </c>
      <c r="D1725" s="12">
        <v>4.72</v>
      </c>
      <c r="E1725" s="12">
        <v>0.49</v>
      </c>
      <c r="F1725" s="12">
        <v>50.0</v>
      </c>
      <c r="G1725" s="13">
        <v>44462.777320532405</v>
      </c>
      <c r="H1725" s="14">
        <f>IFERROR(__xludf.DUMMYFUNCTION("SPLIT(G1725, "", "")"),44462.0)</f>
        <v>44462</v>
      </c>
      <c r="I1725" s="15">
        <f>IFERROR(__xludf.DUMMYFUNCTION("""COMPUTED_VALUE"""),0.7773148148148148)</f>
        <v>0.7773148148</v>
      </c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</row>
    <row r="1726">
      <c r="A1726" s="12">
        <v>0.34</v>
      </c>
      <c r="B1726" s="12">
        <v>230.3</v>
      </c>
      <c r="C1726" s="12">
        <v>38.5</v>
      </c>
      <c r="D1726" s="12">
        <v>4.72</v>
      </c>
      <c r="E1726" s="12">
        <v>0.49</v>
      </c>
      <c r="F1726" s="12">
        <v>50.0</v>
      </c>
      <c r="G1726" s="13">
        <v>44462.77742590278</v>
      </c>
      <c r="H1726" s="14">
        <f>IFERROR(__xludf.DUMMYFUNCTION("SPLIT(G1726, "", "")"),44462.0)</f>
        <v>44462</v>
      </c>
      <c r="I1726" s="15">
        <f>IFERROR(__xludf.DUMMYFUNCTION("""COMPUTED_VALUE"""),0.7774305555555555)</f>
        <v>0.7774305556</v>
      </c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</row>
    <row r="1727">
      <c r="A1727" s="12">
        <v>0.34</v>
      </c>
      <c r="B1727" s="12">
        <v>230.2</v>
      </c>
      <c r="C1727" s="12">
        <v>38.3</v>
      </c>
      <c r="D1727" s="12">
        <v>4.72</v>
      </c>
      <c r="E1727" s="12">
        <v>0.5</v>
      </c>
      <c r="F1727" s="12">
        <v>50.0</v>
      </c>
      <c r="G1727" s="13">
        <v>44462.777527928236</v>
      </c>
      <c r="H1727" s="14">
        <f>IFERROR(__xludf.DUMMYFUNCTION("SPLIT(G1727, "", "")"),44462.0)</f>
        <v>44462</v>
      </c>
      <c r="I1727" s="15">
        <f>IFERROR(__xludf.DUMMYFUNCTION("""COMPUTED_VALUE"""),0.7775231481481482)</f>
        <v>0.7775231481</v>
      </c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</row>
    <row r="1728">
      <c r="A1728" s="12">
        <v>0.34</v>
      </c>
      <c r="B1728" s="12">
        <v>230.1</v>
      </c>
      <c r="C1728" s="12">
        <v>38.1</v>
      </c>
      <c r="D1728" s="12">
        <v>4.72</v>
      </c>
      <c r="E1728" s="12">
        <v>0.49</v>
      </c>
      <c r="F1728" s="12">
        <v>50.0</v>
      </c>
      <c r="G1728" s="13">
        <v>44462.77763225694</v>
      </c>
      <c r="H1728" s="14">
        <f>IFERROR(__xludf.DUMMYFUNCTION("SPLIT(G1728, "", "")"),44462.0)</f>
        <v>44462</v>
      </c>
      <c r="I1728" s="15">
        <f>IFERROR(__xludf.DUMMYFUNCTION("""COMPUTED_VALUE"""),0.7776273148148148)</f>
        <v>0.7776273148</v>
      </c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</row>
    <row r="1729">
      <c r="A1729" s="12">
        <v>0.34</v>
      </c>
      <c r="B1729" s="12">
        <v>230.1</v>
      </c>
      <c r="C1729" s="12">
        <v>37.8</v>
      </c>
      <c r="D1729" s="12">
        <v>4.72</v>
      </c>
      <c r="E1729" s="12">
        <v>0.49</v>
      </c>
      <c r="F1729" s="12">
        <v>49.9</v>
      </c>
      <c r="G1729" s="13">
        <v>44462.77773291667</v>
      </c>
      <c r="H1729" s="14">
        <f>IFERROR(__xludf.DUMMYFUNCTION("SPLIT(G1729, "", "")"),44462.0)</f>
        <v>44462</v>
      </c>
      <c r="I1729" s="15">
        <f>IFERROR(__xludf.DUMMYFUNCTION("""COMPUTED_VALUE"""),0.7777314814814815)</f>
        <v>0.7777314815</v>
      </c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</row>
    <row r="1730">
      <c r="A1730" s="12">
        <v>0.33</v>
      </c>
      <c r="B1730" s="12">
        <v>230.1</v>
      </c>
      <c r="C1730" s="12">
        <v>37.6</v>
      </c>
      <c r="D1730" s="12">
        <v>4.72</v>
      </c>
      <c r="E1730" s="12">
        <v>0.49</v>
      </c>
      <c r="F1730" s="12">
        <v>50.0</v>
      </c>
      <c r="G1730" s="13">
        <v>44462.77783556713</v>
      </c>
      <c r="H1730" s="14">
        <f>IFERROR(__xludf.DUMMYFUNCTION("SPLIT(G1730, "", "")"),44462.0)</f>
        <v>44462</v>
      </c>
      <c r="I1730" s="15">
        <f>IFERROR(__xludf.DUMMYFUNCTION("""COMPUTED_VALUE"""),0.7778356481481481)</f>
        <v>0.7778356481</v>
      </c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</row>
    <row r="1731">
      <c r="A1731" s="12">
        <v>0.33</v>
      </c>
      <c r="B1731" s="12">
        <v>230.0</v>
      </c>
      <c r="C1731" s="12">
        <v>37.5</v>
      </c>
      <c r="D1731" s="12">
        <v>4.72</v>
      </c>
      <c r="E1731" s="12">
        <v>0.49</v>
      </c>
      <c r="F1731" s="12">
        <v>49.9</v>
      </c>
      <c r="G1731" s="13">
        <v>44462.777935798615</v>
      </c>
      <c r="H1731" s="14">
        <f>IFERROR(__xludf.DUMMYFUNCTION("SPLIT(G1731, "", "")"),44462.0)</f>
        <v>44462</v>
      </c>
      <c r="I1731" s="15">
        <f>IFERROR(__xludf.DUMMYFUNCTION("""COMPUTED_VALUE"""),0.7779398148148148)</f>
        <v>0.7779398148</v>
      </c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</row>
    <row r="1732">
      <c r="A1732" s="12">
        <v>0.33</v>
      </c>
      <c r="B1732" s="12">
        <v>230.0</v>
      </c>
      <c r="C1732" s="12">
        <v>37.2</v>
      </c>
      <c r="D1732" s="12">
        <v>4.73</v>
      </c>
      <c r="E1732" s="12">
        <v>0.49</v>
      </c>
      <c r="F1732" s="12">
        <v>49.9</v>
      </c>
      <c r="G1732" s="13">
        <v>44462.77804239583</v>
      </c>
      <c r="H1732" s="14">
        <f>IFERROR(__xludf.DUMMYFUNCTION("SPLIT(G1732, "", "")"),44462.0)</f>
        <v>44462</v>
      </c>
      <c r="I1732" s="15">
        <f>IFERROR(__xludf.DUMMYFUNCTION("""COMPUTED_VALUE"""),0.7780439814814815)</f>
        <v>0.7780439815</v>
      </c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</row>
    <row r="1733">
      <c r="A1733" s="12">
        <v>0.33</v>
      </c>
      <c r="B1733" s="12">
        <v>230.1</v>
      </c>
      <c r="C1733" s="12">
        <v>37.1</v>
      </c>
      <c r="D1733" s="12">
        <v>4.73</v>
      </c>
      <c r="E1733" s="12">
        <v>0.49</v>
      </c>
      <c r="F1733" s="12">
        <v>50.0</v>
      </c>
      <c r="G1733" s="13">
        <v>44462.778148564816</v>
      </c>
      <c r="H1733" s="14">
        <f>IFERROR(__xludf.DUMMYFUNCTION("SPLIT(G1733, "", "")"),44462.0)</f>
        <v>44462</v>
      </c>
      <c r="I1733" s="15">
        <f>IFERROR(__xludf.DUMMYFUNCTION("""COMPUTED_VALUE"""),0.7781481481481481)</f>
        <v>0.7781481481</v>
      </c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</row>
    <row r="1734">
      <c r="A1734" s="12">
        <v>0.33</v>
      </c>
      <c r="B1734" s="12">
        <v>230.1</v>
      </c>
      <c r="C1734" s="12">
        <v>36.9</v>
      </c>
      <c r="D1734" s="12">
        <v>4.73</v>
      </c>
      <c r="E1734" s="12">
        <v>0.49</v>
      </c>
      <c r="F1734" s="12">
        <v>50.0</v>
      </c>
      <c r="G1734" s="13">
        <v>44462.77828373843</v>
      </c>
      <c r="H1734" s="14">
        <f>IFERROR(__xludf.DUMMYFUNCTION("SPLIT(G1734, "", "")"),44462.0)</f>
        <v>44462</v>
      </c>
      <c r="I1734" s="15">
        <f>IFERROR(__xludf.DUMMYFUNCTION("""COMPUTED_VALUE"""),0.778287037037037)</f>
        <v>0.778287037</v>
      </c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</row>
    <row r="1735">
      <c r="A1735" s="12">
        <v>0.33</v>
      </c>
      <c r="B1735" s="12">
        <v>230.1</v>
      </c>
      <c r="C1735" s="12">
        <v>36.7</v>
      </c>
      <c r="D1735" s="12">
        <v>4.73</v>
      </c>
      <c r="E1735" s="12">
        <v>0.49</v>
      </c>
      <c r="F1735" s="12">
        <v>50.0</v>
      </c>
      <c r="G1735" s="13">
        <v>44462.77838471065</v>
      </c>
      <c r="H1735" s="14">
        <f>IFERROR(__xludf.DUMMYFUNCTION("SPLIT(G1735, "", "")"),44462.0)</f>
        <v>44462</v>
      </c>
      <c r="I1735" s="15">
        <f>IFERROR(__xludf.DUMMYFUNCTION("""COMPUTED_VALUE"""),0.7783796296296296)</f>
        <v>0.7783796296</v>
      </c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</row>
    <row r="1736">
      <c r="A1736" s="12">
        <v>0.33</v>
      </c>
      <c r="B1736" s="12">
        <v>230.2</v>
      </c>
      <c r="C1736" s="12">
        <v>36.6</v>
      </c>
      <c r="D1736" s="12">
        <v>4.73</v>
      </c>
      <c r="E1736" s="12">
        <v>0.49</v>
      </c>
      <c r="F1736" s="12">
        <v>50.0</v>
      </c>
      <c r="G1736" s="13">
        <v>44462.77848765046</v>
      </c>
      <c r="H1736" s="14">
        <f>IFERROR(__xludf.DUMMYFUNCTION("SPLIT(G1736, "", "")"),44462.0)</f>
        <v>44462</v>
      </c>
      <c r="I1736" s="15">
        <f>IFERROR(__xludf.DUMMYFUNCTION("""COMPUTED_VALUE"""),0.7784837962962963)</f>
        <v>0.7784837963</v>
      </c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</row>
    <row r="1737">
      <c r="A1737" s="12">
        <v>0.32</v>
      </c>
      <c r="B1737" s="12">
        <v>230.2</v>
      </c>
      <c r="C1737" s="12">
        <v>36.4</v>
      </c>
      <c r="D1737" s="12">
        <v>4.73</v>
      </c>
      <c r="E1737" s="12">
        <v>0.49</v>
      </c>
      <c r="F1737" s="12">
        <v>50.0</v>
      </c>
      <c r="G1737" s="13">
        <v>44462.77859984954</v>
      </c>
      <c r="H1737" s="14">
        <f>IFERROR(__xludf.DUMMYFUNCTION("SPLIT(G1737, "", "")"),44462.0)</f>
        <v>44462</v>
      </c>
      <c r="I1737" s="15">
        <f>IFERROR(__xludf.DUMMYFUNCTION("""COMPUTED_VALUE"""),0.778599537037037)</f>
        <v>0.778599537</v>
      </c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</row>
    <row r="1738">
      <c r="A1738" s="12">
        <v>0.32</v>
      </c>
      <c r="B1738" s="12">
        <v>230.2</v>
      </c>
      <c r="C1738" s="12">
        <v>36.4</v>
      </c>
      <c r="D1738" s="12">
        <v>4.73</v>
      </c>
      <c r="E1738" s="12">
        <v>0.49</v>
      </c>
      <c r="F1738" s="12">
        <v>50.0</v>
      </c>
      <c r="G1738" s="13">
        <v>44462.77870079861</v>
      </c>
      <c r="H1738" s="14">
        <f>IFERROR(__xludf.DUMMYFUNCTION("SPLIT(G1738, "", "")"),44462.0)</f>
        <v>44462</v>
      </c>
      <c r="I1738" s="15">
        <f>IFERROR(__xludf.DUMMYFUNCTION("""COMPUTED_VALUE"""),0.7787037037037037)</f>
        <v>0.7787037037</v>
      </c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</row>
    <row r="1739">
      <c r="A1739" s="12">
        <v>0.32</v>
      </c>
      <c r="B1739" s="12">
        <v>230.2</v>
      </c>
      <c r="C1739" s="12">
        <v>36.0</v>
      </c>
      <c r="D1739" s="12">
        <v>4.73</v>
      </c>
      <c r="E1739" s="12">
        <v>0.49</v>
      </c>
      <c r="F1739" s="12">
        <v>50.0</v>
      </c>
      <c r="G1739" s="13">
        <v>44462.77880395833</v>
      </c>
      <c r="H1739" s="14">
        <f>IFERROR(__xludf.DUMMYFUNCTION("SPLIT(G1739, "", "")"),44462.0)</f>
        <v>44462</v>
      </c>
      <c r="I1739" s="15">
        <f>IFERROR(__xludf.DUMMYFUNCTION("""COMPUTED_VALUE"""),0.7788078703703704)</f>
        <v>0.7788078704</v>
      </c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</row>
    <row r="1740">
      <c r="A1740" s="12">
        <v>0.32</v>
      </c>
      <c r="B1740" s="12">
        <v>230.4</v>
      </c>
      <c r="C1740" s="12">
        <v>36.0</v>
      </c>
      <c r="D1740" s="12">
        <v>4.73</v>
      </c>
      <c r="E1740" s="12">
        <v>0.49</v>
      </c>
      <c r="F1740" s="12">
        <v>50.0</v>
      </c>
      <c r="G1740" s="13">
        <v>44462.77891040509</v>
      </c>
      <c r="H1740" s="14">
        <f>IFERROR(__xludf.DUMMYFUNCTION("SPLIT(G1740, "", "")"),44462.0)</f>
        <v>44462</v>
      </c>
      <c r="I1740" s="15">
        <f>IFERROR(__xludf.DUMMYFUNCTION("""COMPUTED_VALUE"""),0.778912037037037)</f>
        <v>0.778912037</v>
      </c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</row>
    <row r="1741">
      <c r="A1741" s="12">
        <v>0.32</v>
      </c>
      <c r="B1741" s="12">
        <v>230.2</v>
      </c>
      <c r="C1741" s="12">
        <v>35.6</v>
      </c>
      <c r="D1741" s="12">
        <v>4.73</v>
      </c>
      <c r="E1741" s="12">
        <v>0.49</v>
      </c>
      <c r="F1741" s="12">
        <v>50.0</v>
      </c>
      <c r="G1741" s="13">
        <v>44462.779018761576</v>
      </c>
      <c r="H1741" s="14">
        <f>IFERROR(__xludf.DUMMYFUNCTION("SPLIT(G1741, "", "")"),44462.0)</f>
        <v>44462</v>
      </c>
      <c r="I1741" s="15">
        <f>IFERROR(__xludf.DUMMYFUNCTION("""COMPUTED_VALUE"""),0.7790162037037037)</f>
        <v>0.7790162037</v>
      </c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</row>
    <row r="1742">
      <c r="A1742" s="12">
        <v>0.32</v>
      </c>
      <c r="B1742" s="12">
        <v>230.2</v>
      </c>
      <c r="C1742" s="12">
        <v>35.5</v>
      </c>
      <c r="D1742" s="12">
        <v>4.73</v>
      </c>
      <c r="E1742" s="12">
        <v>0.48</v>
      </c>
      <c r="F1742" s="12">
        <v>50.0</v>
      </c>
      <c r="G1742" s="13">
        <v>44462.7791190625</v>
      </c>
      <c r="H1742" s="14">
        <f>IFERROR(__xludf.DUMMYFUNCTION("SPLIT(G1742, "", "")"),44462.0)</f>
        <v>44462</v>
      </c>
      <c r="I1742" s="15">
        <f>IFERROR(__xludf.DUMMYFUNCTION("""COMPUTED_VALUE"""),0.7791203703703704)</f>
        <v>0.7791203704</v>
      </c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</row>
    <row r="1743">
      <c r="A1743" s="12">
        <v>0.32</v>
      </c>
      <c r="B1743" s="12">
        <v>230.3</v>
      </c>
      <c r="C1743" s="12">
        <v>35.4</v>
      </c>
      <c r="D1743" s="12">
        <v>4.73</v>
      </c>
      <c r="E1743" s="12">
        <v>0.48</v>
      </c>
      <c r="F1743" s="12">
        <v>50.0</v>
      </c>
      <c r="G1743" s="13">
        <v>44462.77921846065</v>
      </c>
      <c r="H1743" s="14">
        <f>IFERROR(__xludf.DUMMYFUNCTION("SPLIT(G1743, "", "")"),44462.0)</f>
        <v>44462</v>
      </c>
      <c r="I1743" s="15">
        <f>IFERROR(__xludf.DUMMYFUNCTION("""COMPUTED_VALUE"""),0.7792129629629629)</f>
        <v>0.779212963</v>
      </c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</row>
    <row r="1744">
      <c r="A1744" s="12">
        <v>0.31</v>
      </c>
      <c r="B1744" s="12">
        <v>230.3</v>
      </c>
      <c r="C1744" s="12">
        <v>35.1</v>
      </c>
      <c r="D1744" s="12">
        <v>4.73</v>
      </c>
      <c r="E1744" s="12">
        <v>0.49</v>
      </c>
      <c r="F1744" s="12">
        <v>50.0</v>
      </c>
      <c r="G1744" s="13">
        <v>44462.7793205787</v>
      </c>
      <c r="H1744" s="14">
        <f>IFERROR(__xludf.DUMMYFUNCTION("SPLIT(G1744, "", "")"),44462.0)</f>
        <v>44462</v>
      </c>
      <c r="I1744" s="15">
        <f>IFERROR(__xludf.DUMMYFUNCTION("""COMPUTED_VALUE"""),0.7793171296296296)</f>
        <v>0.7793171296</v>
      </c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</row>
    <row r="1745">
      <c r="A1745" s="12">
        <v>0.31</v>
      </c>
      <c r="B1745" s="12">
        <v>230.2</v>
      </c>
      <c r="C1745" s="12">
        <v>34.9</v>
      </c>
      <c r="D1745" s="12">
        <v>4.73</v>
      </c>
      <c r="E1745" s="12">
        <v>0.48</v>
      </c>
      <c r="F1745" s="12">
        <v>50.0</v>
      </c>
      <c r="G1745" s="13">
        <v>44462.779424629625</v>
      </c>
      <c r="H1745" s="14">
        <f>IFERROR(__xludf.DUMMYFUNCTION("SPLIT(G1745, "", "")"),44462.0)</f>
        <v>44462</v>
      </c>
      <c r="I1745" s="15">
        <f>IFERROR(__xludf.DUMMYFUNCTION("""COMPUTED_VALUE"""),0.7794212962962963)</f>
        <v>0.7794212963</v>
      </c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</row>
    <row r="1746">
      <c r="A1746" s="12">
        <v>0.31</v>
      </c>
      <c r="B1746" s="12">
        <v>230.3</v>
      </c>
      <c r="C1746" s="12">
        <v>34.7</v>
      </c>
      <c r="D1746" s="12">
        <v>4.73</v>
      </c>
      <c r="E1746" s="12">
        <v>0.48</v>
      </c>
      <c r="F1746" s="12">
        <v>50.0</v>
      </c>
      <c r="G1746" s="13">
        <v>44462.77953020833</v>
      </c>
      <c r="H1746" s="14">
        <f>IFERROR(__xludf.DUMMYFUNCTION("SPLIT(G1746, "", "")"),44462.0)</f>
        <v>44462</v>
      </c>
      <c r="I1746" s="15">
        <f>IFERROR(__xludf.DUMMYFUNCTION("""COMPUTED_VALUE"""),0.779525462962963)</f>
        <v>0.779525463</v>
      </c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</row>
    <row r="1747">
      <c r="A1747" s="12">
        <v>0.31</v>
      </c>
      <c r="B1747" s="12">
        <v>230.3</v>
      </c>
      <c r="C1747" s="12">
        <v>34.6</v>
      </c>
      <c r="D1747" s="12">
        <v>4.73</v>
      </c>
      <c r="E1747" s="12">
        <v>0.48</v>
      </c>
      <c r="F1747" s="12">
        <v>50.0</v>
      </c>
      <c r="G1747" s="13">
        <v>44462.779636886575</v>
      </c>
      <c r="H1747" s="14">
        <f>IFERROR(__xludf.DUMMYFUNCTION("SPLIT(G1747, "", "")"),44462.0)</f>
        <v>44462</v>
      </c>
      <c r="I1747" s="15">
        <f>IFERROR(__xludf.DUMMYFUNCTION("""COMPUTED_VALUE"""),0.7796412037037037)</f>
        <v>0.7796412037</v>
      </c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</row>
    <row r="1748">
      <c r="A1748" s="12">
        <v>0.31</v>
      </c>
      <c r="B1748" s="12">
        <v>230.3</v>
      </c>
      <c r="C1748" s="12">
        <v>34.5</v>
      </c>
      <c r="D1748" s="12">
        <v>4.73</v>
      </c>
      <c r="E1748" s="12">
        <v>0.48</v>
      </c>
      <c r="F1748" s="12">
        <v>50.0</v>
      </c>
      <c r="G1748" s="13">
        <v>44462.77973730324</v>
      </c>
      <c r="H1748" s="14">
        <f>IFERROR(__xludf.DUMMYFUNCTION("SPLIT(G1748, "", "")"),44462.0)</f>
        <v>44462</v>
      </c>
      <c r="I1748" s="15">
        <f>IFERROR(__xludf.DUMMYFUNCTION("""COMPUTED_VALUE"""),0.7797337962962962)</f>
        <v>0.7797337963</v>
      </c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</row>
    <row r="1749">
      <c r="A1749" s="12">
        <v>0.31</v>
      </c>
      <c r="B1749" s="12">
        <v>230.3</v>
      </c>
      <c r="C1749" s="12">
        <v>34.4</v>
      </c>
      <c r="D1749" s="12">
        <v>4.73</v>
      </c>
      <c r="E1749" s="12">
        <v>0.48</v>
      </c>
      <c r="F1749" s="12">
        <v>50.0</v>
      </c>
      <c r="G1749" s="13">
        <v>44462.77984015046</v>
      </c>
      <c r="H1749" s="14">
        <f>IFERROR(__xludf.DUMMYFUNCTION("SPLIT(G1749, "", "")"),44462.0)</f>
        <v>44462</v>
      </c>
      <c r="I1749" s="15">
        <f>IFERROR(__xludf.DUMMYFUNCTION("""COMPUTED_VALUE"""),0.7798379629629629)</f>
        <v>0.779837963</v>
      </c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</row>
    <row r="1750">
      <c r="A1750" s="12">
        <v>0.31</v>
      </c>
      <c r="B1750" s="12">
        <v>230.3</v>
      </c>
      <c r="C1750" s="12">
        <v>34.1</v>
      </c>
      <c r="D1750" s="12">
        <v>4.73</v>
      </c>
      <c r="E1750" s="12">
        <v>0.48</v>
      </c>
      <c r="F1750" s="12">
        <v>50.0</v>
      </c>
      <c r="G1750" s="13">
        <v>44462.77994111111</v>
      </c>
      <c r="H1750" s="14">
        <f>IFERROR(__xludf.DUMMYFUNCTION("SPLIT(G1750, "", "")"),44462.0)</f>
        <v>44462</v>
      </c>
      <c r="I1750" s="15">
        <f>IFERROR(__xludf.DUMMYFUNCTION("""COMPUTED_VALUE"""),0.7799421296296296)</f>
        <v>0.7799421296</v>
      </c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</row>
    <row r="1751">
      <c r="A1751" s="12">
        <v>0.31</v>
      </c>
      <c r="B1751" s="12">
        <v>230.2</v>
      </c>
      <c r="C1751" s="12">
        <v>33.8</v>
      </c>
      <c r="D1751" s="12">
        <v>4.73</v>
      </c>
      <c r="E1751" s="12">
        <v>0.48</v>
      </c>
      <c r="F1751" s="12">
        <v>50.0</v>
      </c>
      <c r="G1751" s="13">
        <v>44462.78004657407</v>
      </c>
      <c r="H1751" s="14">
        <f>IFERROR(__xludf.DUMMYFUNCTION("SPLIT(G1751, "", "")"),44462.0)</f>
        <v>44462</v>
      </c>
      <c r="I1751" s="15">
        <f>IFERROR(__xludf.DUMMYFUNCTION("""COMPUTED_VALUE"""),0.7800462962962963)</f>
        <v>0.7800462963</v>
      </c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</row>
    <row r="1752">
      <c r="A1752" s="12">
        <v>0.3</v>
      </c>
      <c r="B1752" s="12">
        <v>230.3</v>
      </c>
      <c r="C1752" s="12">
        <v>33.6</v>
      </c>
      <c r="D1752" s="12">
        <v>4.73</v>
      </c>
      <c r="E1752" s="12">
        <v>0.48</v>
      </c>
      <c r="F1752" s="12">
        <v>50.0</v>
      </c>
      <c r="G1752" s="13">
        <v>44462.780151099534</v>
      </c>
      <c r="H1752" s="14">
        <f>IFERROR(__xludf.DUMMYFUNCTION("SPLIT(G1752, "", "")"),44462.0)</f>
        <v>44462</v>
      </c>
      <c r="I1752" s="15">
        <f>IFERROR(__xludf.DUMMYFUNCTION("""COMPUTED_VALUE"""),0.780150462962963)</f>
        <v>0.780150463</v>
      </c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</row>
    <row r="1753">
      <c r="A1753" s="12">
        <v>0.3</v>
      </c>
      <c r="B1753" s="12">
        <v>230.3</v>
      </c>
      <c r="C1753" s="12">
        <v>33.6</v>
      </c>
      <c r="D1753" s="12">
        <v>4.73</v>
      </c>
      <c r="E1753" s="12">
        <v>0.48</v>
      </c>
      <c r="F1753" s="12">
        <v>50.0</v>
      </c>
      <c r="G1753" s="13">
        <v>44462.78025512732</v>
      </c>
      <c r="H1753" s="14">
        <f>IFERROR(__xludf.DUMMYFUNCTION("SPLIT(G1753, "", "")"),44462.0)</f>
        <v>44462</v>
      </c>
      <c r="I1753" s="15">
        <f>IFERROR(__xludf.DUMMYFUNCTION("""COMPUTED_VALUE"""),0.7802546296296297)</f>
        <v>0.7802546296</v>
      </c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</row>
    <row r="1754">
      <c r="A1754" s="12">
        <v>0.3</v>
      </c>
      <c r="B1754" s="12">
        <v>230.3</v>
      </c>
      <c r="C1754" s="12">
        <v>33.3</v>
      </c>
      <c r="D1754" s="12">
        <v>4.73</v>
      </c>
      <c r="E1754" s="12">
        <v>0.48</v>
      </c>
      <c r="F1754" s="12">
        <v>50.0</v>
      </c>
      <c r="G1754" s="13">
        <v>44462.780361006946</v>
      </c>
      <c r="H1754" s="14">
        <f>IFERROR(__xludf.DUMMYFUNCTION("SPLIT(G1754, "", "")"),44462.0)</f>
        <v>44462</v>
      </c>
      <c r="I1754" s="15">
        <f>IFERROR(__xludf.DUMMYFUNCTION("""COMPUTED_VALUE"""),0.7803587962962963)</f>
        <v>0.7803587963</v>
      </c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</row>
    <row r="1755">
      <c r="A1755" s="12">
        <v>0.3</v>
      </c>
      <c r="B1755" s="12">
        <v>230.4</v>
      </c>
      <c r="C1755" s="12">
        <v>33.4</v>
      </c>
      <c r="D1755" s="12">
        <v>4.73</v>
      </c>
      <c r="E1755" s="12">
        <v>0.48</v>
      </c>
      <c r="F1755" s="12">
        <v>50.0</v>
      </c>
      <c r="G1755" s="13">
        <v>44462.780464282405</v>
      </c>
      <c r="H1755" s="14">
        <f>IFERROR(__xludf.DUMMYFUNCTION("SPLIT(G1755, "", "")"),44462.0)</f>
        <v>44462</v>
      </c>
      <c r="I1755" s="15">
        <f>IFERROR(__xludf.DUMMYFUNCTION("""COMPUTED_VALUE"""),0.7804629629629629)</f>
        <v>0.780462963</v>
      </c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</row>
    <row r="1756">
      <c r="A1756" s="12">
        <v>0.3</v>
      </c>
      <c r="B1756" s="12">
        <v>230.3</v>
      </c>
      <c r="C1756" s="12">
        <v>32.9</v>
      </c>
      <c r="D1756" s="12">
        <v>4.73</v>
      </c>
      <c r="E1756" s="12">
        <v>0.48</v>
      </c>
      <c r="F1756" s="12">
        <v>50.0</v>
      </c>
      <c r="G1756" s="13">
        <v>44462.780604976855</v>
      </c>
      <c r="H1756" s="14">
        <f>IFERROR(__xludf.DUMMYFUNCTION("SPLIT(G1756, "", "")"),44462.0)</f>
        <v>44462</v>
      </c>
      <c r="I1756" s="15">
        <f>IFERROR(__xludf.DUMMYFUNCTION("""COMPUTED_VALUE"""),0.7806018518518518)</f>
        <v>0.7806018519</v>
      </c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</row>
    <row r="1757">
      <c r="A1757" s="12">
        <v>0.3</v>
      </c>
      <c r="B1757" s="12">
        <v>230.3</v>
      </c>
      <c r="C1757" s="12">
        <v>32.9</v>
      </c>
      <c r="D1757" s="12">
        <v>4.73</v>
      </c>
      <c r="E1757" s="12">
        <v>0.48</v>
      </c>
      <c r="F1757" s="12">
        <v>50.0</v>
      </c>
      <c r="G1757" s="13">
        <v>44462.780733148145</v>
      </c>
      <c r="H1757" s="14">
        <f>IFERROR(__xludf.DUMMYFUNCTION("SPLIT(G1757, "", "")"),44462.0)</f>
        <v>44462</v>
      </c>
      <c r="I1757" s="15">
        <f>IFERROR(__xludf.DUMMYFUNCTION("""COMPUTED_VALUE"""),0.7807291666666667)</f>
        <v>0.7807291667</v>
      </c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</row>
    <row r="1758">
      <c r="A1758" s="12">
        <v>0.3</v>
      </c>
      <c r="B1758" s="12">
        <v>230.4</v>
      </c>
      <c r="C1758" s="12">
        <v>32.8</v>
      </c>
      <c r="D1758" s="12">
        <v>4.73</v>
      </c>
      <c r="E1758" s="12">
        <v>0.48</v>
      </c>
      <c r="F1758" s="12">
        <v>50.0</v>
      </c>
      <c r="G1758" s="13">
        <v>44462.780839976855</v>
      </c>
      <c r="H1758" s="14">
        <f>IFERROR(__xludf.DUMMYFUNCTION("SPLIT(G1758, "", "")"),44462.0)</f>
        <v>44462</v>
      </c>
      <c r="I1758" s="15">
        <f>IFERROR(__xludf.DUMMYFUNCTION("""COMPUTED_VALUE"""),0.7808449074074074)</f>
        <v>0.7808449074</v>
      </c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</row>
    <row r="1759">
      <c r="A1759" s="12">
        <v>0.29</v>
      </c>
      <c r="B1759" s="12">
        <v>230.4</v>
      </c>
      <c r="C1759" s="12">
        <v>32.5</v>
      </c>
      <c r="D1759" s="12">
        <v>4.73</v>
      </c>
      <c r="E1759" s="12">
        <v>0.48</v>
      </c>
      <c r="F1759" s="12">
        <v>50.0</v>
      </c>
      <c r="G1759" s="13">
        <v>44462.78094700231</v>
      </c>
      <c r="H1759" s="14">
        <f>IFERROR(__xludf.DUMMYFUNCTION("SPLIT(G1759, "", "")"),44462.0)</f>
        <v>44462</v>
      </c>
      <c r="I1759" s="15">
        <f>IFERROR(__xludf.DUMMYFUNCTION("""COMPUTED_VALUE"""),0.7809490740740741)</f>
        <v>0.7809490741</v>
      </c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</row>
    <row r="1760">
      <c r="A1760" s="12">
        <v>0.29</v>
      </c>
      <c r="B1760" s="12">
        <v>230.5</v>
      </c>
      <c r="C1760" s="12">
        <v>32.6</v>
      </c>
      <c r="D1760" s="12">
        <v>4.73</v>
      </c>
      <c r="E1760" s="12">
        <v>0.48</v>
      </c>
      <c r="F1760" s="12">
        <v>50.0</v>
      </c>
      <c r="G1760" s="13">
        <v>44462.78104990741</v>
      </c>
      <c r="H1760" s="14">
        <f>IFERROR(__xludf.DUMMYFUNCTION("SPLIT(G1760, "", "")"),44462.0)</f>
        <v>44462</v>
      </c>
      <c r="I1760" s="15">
        <f>IFERROR(__xludf.DUMMYFUNCTION("""COMPUTED_VALUE"""),0.7810532407407408)</f>
        <v>0.7810532407</v>
      </c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</row>
    <row r="1761">
      <c r="A1761" s="12">
        <v>0.29</v>
      </c>
      <c r="B1761" s="12">
        <v>230.4</v>
      </c>
      <c r="C1761" s="12">
        <v>32.2</v>
      </c>
      <c r="D1761" s="12">
        <v>4.73</v>
      </c>
      <c r="E1761" s="12">
        <v>0.48</v>
      </c>
      <c r="F1761" s="12">
        <v>49.9</v>
      </c>
      <c r="G1761" s="13">
        <v>44462.78114630787</v>
      </c>
      <c r="H1761" s="14">
        <f>IFERROR(__xludf.DUMMYFUNCTION("SPLIT(G1761, "", "")"),44462.0)</f>
        <v>44462</v>
      </c>
      <c r="I1761" s="15">
        <f>IFERROR(__xludf.DUMMYFUNCTION("""COMPUTED_VALUE"""),0.7811458333333333)</f>
        <v>0.7811458333</v>
      </c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</row>
    <row r="1762">
      <c r="A1762" s="12">
        <v>0.29</v>
      </c>
      <c r="B1762" s="12">
        <v>230.4</v>
      </c>
      <c r="C1762" s="12">
        <v>32.0</v>
      </c>
      <c r="D1762" s="12">
        <v>4.73</v>
      </c>
      <c r="E1762" s="12">
        <v>0.48</v>
      </c>
      <c r="F1762" s="12">
        <v>49.9</v>
      </c>
      <c r="G1762" s="13">
        <v>44462.78124732639</v>
      </c>
      <c r="H1762" s="14">
        <f>IFERROR(__xludf.DUMMYFUNCTION("SPLIT(G1762, "", "")"),44462.0)</f>
        <v>44462</v>
      </c>
      <c r="I1762" s="15">
        <f>IFERROR(__xludf.DUMMYFUNCTION("""COMPUTED_VALUE"""),0.78125)</f>
        <v>0.78125</v>
      </c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</row>
    <row r="1763">
      <c r="A1763" s="12">
        <v>0.29</v>
      </c>
      <c r="B1763" s="12">
        <v>230.4</v>
      </c>
      <c r="C1763" s="12">
        <v>31.9</v>
      </c>
      <c r="D1763" s="12">
        <v>4.73</v>
      </c>
      <c r="E1763" s="12">
        <v>0.48</v>
      </c>
      <c r="F1763" s="12">
        <v>49.9</v>
      </c>
      <c r="G1763" s="13">
        <v>44462.78134923612</v>
      </c>
      <c r="H1763" s="14">
        <f>IFERROR(__xludf.DUMMYFUNCTION("SPLIT(G1763, "", "")"),44462.0)</f>
        <v>44462</v>
      </c>
      <c r="I1763" s="15">
        <f>IFERROR(__xludf.DUMMYFUNCTION("""COMPUTED_VALUE"""),0.7813541666666667)</f>
        <v>0.7813541667</v>
      </c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</row>
    <row r="1764">
      <c r="A1764" s="12">
        <v>0.29</v>
      </c>
      <c r="B1764" s="12">
        <v>230.4</v>
      </c>
      <c r="C1764" s="12">
        <v>31.7</v>
      </c>
      <c r="D1764" s="12">
        <v>4.73</v>
      </c>
      <c r="E1764" s="12">
        <v>0.48</v>
      </c>
      <c r="F1764" s="12">
        <v>49.9</v>
      </c>
      <c r="G1764" s="13">
        <v>44462.78144576389</v>
      </c>
      <c r="H1764" s="14">
        <f>IFERROR(__xludf.DUMMYFUNCTION("SPLIT(G1764, "", "")"),44462.0)</f>
        <v>44462</v>
      </c>
      <c r="I1764" s="15">
        <f>IFERROR(__xludf.DUMMYFUNCTION("""COMPUTED_VALUE"""),0.7814467592592592)</f>
        <v>0.7814467593</v>
      </c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</row>
    <row r="1765">
      <c r="A1765" s="12">
        <v>0.29</v>
      </c>
      <c r="B1765" s="12">
        <v>230.4</v>
      </c>
      <c r="C1765" s="12">
        <v>31.7</v>
      </c>
      <c r="D1765" s="12">
        <v>4.73</v>
      </c>
      <c r="E1765" s="12">
        <v>0.48</v>
      </c>
      <c r="F1765" s="12">
        <v>49.9</v>
      </c>
      <c r="G1765" s="13">
        <v>44462.78154454861</v>
      </c>
      <c r="H1765" s="14">
        <f>IFERROR(__xludf.DUMMYFUNCTION("SPLIT(G1765, "", "")"),44462.0)</f>
        <v>44462</v>
      </c>
      <c r="I1765" s="15">
        <f>IFERROR(__xludf.DUMMYFUNCTION("""COMPUTED_VALUE"""),0.7815393518518519)</f>
        <v>0.7815393519</v>
      </c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</row>
    <row r="1766">
      <c r="A1766" s="12">
        <v>0.28</v>
      </c>
      <c r="B1766" s="12">
        <v>230.0</v>
      </c>
      <c r="C1766" s="12">
        <v>31.4</v>
      </c>
      <c r="D1766" s="12">
        <v>4.73</v>
      </c>
      <c r="E1766" s="12">
        <v>0.48</v>
      </c>
      <c r="F1766" s="12">
        <v>50.0</v>
      </c>
      <c r="G1766" s="13">
        <v>44462.78164274305</v>
      </c>
      <c r="H1766" s="14">
        <f>IFERROR(__xludf.DUMMYFUNCTION("SPLIT(G1766, "", "")"),44462.0)</f>
        <v>44462</v>
      </c>
      <c r="I1766" s="15">
        <f>IFERROR(__xludf.DUMMYFUNCTION("""COMPUTED_VALUE"""),0.7816435185185185)</f>
        <v>0.7816435185</v>
      </c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</row>
    <row r="1767">
      <c r="A1767" s="12">
        <v>0.28</v>
      </c>
      <c r="B1767" s="12">
        <v>230.1</v>
      </c>
      <c r="C1767" s="12">
        <v>31.2</v>
      </c>
      <c r="D1767" s="12">
        <v>4.73</v>
      </c>
      <c r="E1767" s="12">
        <v>0.48</v>
      </c>
      <c r="F1767" s="12">
        <v>50.0</v>
      </c>
      <c r="G1767" s="13">
        <v>44462.78174210648</v>
      </c>
      <c r="H1767" s="14">
        <f>IFERROR(__xludf.DUMMYFUNCTION("SPLIT(G1767, "", "")"),44462.0)</f>
        <v>44462</v>
      </c>
      <c r="I1767" s="15">
        <f>IFERROR(__xludf.DUMMYFUNCTION("""COMPUTED_VALUE"""),0.7817476851851852)</f>
        <v>0.7817476852</v>
      </c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</row>
    <row r="1768">
      <c r="A1768" s="12">
        <v>0.28</v>
      </c>
      <c r="B1768" s="12">
        <v>230.1</v>
      </c>
      <c r="C1768" s="12">
        <v>30.9</v>
      </c>
      <c r="D1768" s="12">
        <v>4.73</v>
      </c>
      <c r="E1768" s="12">
        <v>0.48</v>
      </c>
      <c r="F1768" s="12">
        <v>50.0</v>
      </c>
      <c r="G1768" s="13">
        <v>44462.78184159722</v>
      </c>
      <c r="H1768" s="14">
        <f>IFERROR(__xludf.DUMMYFUNCTION("SPLIT(G1768, "", "")"),44462.0)</f>
        <v>44462</v>
      </c>
      <c r="I1768" s="15">
        <f>IFERROR(__xludf.DUMMYFUNCTION("""COMPUTED_VALUE"""),0.7818402777777778)</f>
        <v>0.7818402778</v>
      </c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</row>
    <row r="1769">
      <c r="A1769" s="12">
        <v>0.28</v>
      </c>
      <c r="B1769" s="12">
        <v>230.1</v>
      </c>
      <c r="C1769" s="12">
        <v>30.8</v>
      </c>
      <c r="D1769" s="12">
        <v>4.73</v>
      </c>
      <c r="E1769" s="12">
        <v>0.48</v>
      </c>
      <c r="F1769" s="12">
        <v>50.0</v>
      </c>
      <c r="G1769" s="13">
        <v>44462.78194339121</v>
      </c>
      <c r="H1769" s="14">
        <f>IFERROR(__xludf.DUMMYFUNCTION("SPLIT(G1769, "", "")"),44462.0)</f>
        <v>44462</v>
      </c>
      <c r="I1769" s="15">
        <f>IFERROR(__xludf.DUMMYFUNCTION("""COMPUTED_VALUE"""),0.7819444444444444)</f>
        <v>0.7819444444</v>
      </c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</row>
    <row r="1770">
      <c r="A1770" s="12">
        <v>0.28</v>
      </c>
      <c r="B1770" s="12">
        <v>230.2</v>
      </c>
      <c r="C1770" s="12">
        <v>30.9</v>
      </c>
      <c r="D1770" s="12">
        <v>4.73</v>
      </c>
      <c r="E1770" s="12">
        <v>0.48</v>
      </c>
      <c r="F1770" s="12">
        <v>50.0</v>
      </c>
      <c r="G1770" s="13">
        <v>44462.78204997686</v>
      </c>
      <c r="H1770" s="14">
        <f>IFERROR(__xludf.DUMMYFUNCTION("SPLIT(G1770, "", "")"),44462.0)</f>
        <v>44462</v>
      </c>
      <c r="I1770" s="15">
        <f>IFERROR(__xludf.DUMMYFUNCTION("""COMPUTED_VALUE"""),0.7820486111111111)</f>
        <v>0.7820486111</v>
      </c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</row>
    <row r="1771">
      <c r="A1771" s="12">
        <v>0.28</v>
      </c>
      <c r="B1771" s="12">
        <v>230.2</v>
      </c>
      <c r="C1771" s="12">
        <v>30.6</v>
      </c>
      <c r="D1771" s="12">
        <v>4.73</v>
      </c>
      <c r="E1771" s="12">
        <v>0.48</v>
      </c>
      <c r="F1771" s="12">
        <v>50.0</v>
      </c>
      <c r="G1771" s="13">
        <v>44462.78215451389</v>
      </c>
      <c r="H1771" s="14">
        <f>IFERROR(__xludf.DUMMYFUNCTION("SPLIT(G1771, "", "")"),44462.0)</f>
        <v>44462</v>
      </c>
      <c r="I1771" s="15">
        <f>IFERROR(__xludf.DUMMYFUNCTION("""COMPUTED_VALUE"""),0.7821527777777778)</f>
        <v>0.7821527778</v>
      </c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</row>
    <row r="1772">
      <c r="A1772" s="12">
        <v>0.28</v>
      </c>
      <c r="B1772" s="12">
        <v>230.0</v>
      </c>
      <c r="C1772" s="12">
        <v>30.5</v>
      </c>
      <c r="D1772" s="12">
        <v>4.73</v>
      </c>
      <c r="E1772" s="12">
        <v>0.48</v>
      </c>
      <c r="F1772" s="12">
        <v>50.0</v>
      </c>
      <c r="G1772" s="13">
        <v>44462.782253125</v>
      </c>
      <c r="H1772" s="14">
        <f>IFERROR(__xludf.DUMMYFUNCTION("SPLIT(G1772, "", "")"),44462.0)</f>
        <v>44462</v>
      </c>
      <c r="I1772" s="15">
        <f>IFERROR(__xludf.DUMMYFUNCTION("""COMPUTED_VALUE"""),0.7822569444444445)</f>
        <v>0.7822569444</v>
      </c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</row>
    <row r="1773">
      <c r="A1773" s="12">
        <v>0.28</v>
      </c>
      <c r="B1773" s="12">
        <v>230.1</v>
      </c>
      <c r="C1773" s="12">
        <v>30.2</v>
      </c>
      <c r="D1773" s="12">
        <v>4.73</v>
      </c>
      <c r="E1773" s="12">
        <v>0.48</v>
      </c>
      <c r="F1773" s="12">
        <v>50.0</v>
      </c>
      <c r="G1773" s="13">
        <v>44462.78235462963</v>
      </c>
      <c r="H1773" s="14">
        <f>IFERROR(__xludf.DUMMYFUNCTION("SPLIT(G1773, "", "")"),44462.0)</f>
        <v>44462</v>
      </c>
      <c r="I1773" s="15">
        <f>IFERROR(__xludf.DUMMYFUNCTION("""COMPUTED_VALUE"""),0.782349537037037)</f>
        <v>0.782349537</v>
      </c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</row>
    <row r="1774">
      <c r="A1774" s="12">
        <v>0.28</v>
      </c>
      <c r="B1774" s="12">
        <v>230.0</v>
      </c>
      <c r="C1774" s="12">
        <v>30.1</v>
      </c>
      <c r="D1774" s="12">
        <v>4.73</v>
      </c>
      <c r="E1774" s="12">
        <v>0.48</v>
      </c>
      <c r="F1774" s="12">
        <v>50.0</v>
      </c>
      <c r="G1774" s="13">
        <v>44462.78245993056</v>
      </c>
      <c r="H1774" s="14">
        <f>IFERROR(__xludf.DUMMYFUNCTION("SPLIT(G1774, "", "")"),44462.0)</f>
        <v>44462</v>
      </c>
      <c r="I1774" s="15">
        <f>IFERROR(__xludf.DUMMYFUNCTION("""COMPUTED_VALUE"""),0.7824652777777777)</f>
        <v>0.7824652778</v>
      </c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</row>
    <row r="1775">
      <c r="A1775" s="12">
        <v>0.28</v>
      </c>
      <c r="B1775" s="12">
        <v>229.9</v>
      </c>
      <c r="C1775" s="12">
        <v>30.0</v>
      </c>
      <c r="D1775" s="12">
        <v>4.73</v>
      </c>
      <c r="E1775" s="12">
        <v>0.47</v>
      </c>
      <c r="F1775" s="12">
        <v>49.9</v>
      </c>
      <c r="G1775" s="13">
        <v>44462.78256101852</v>
      </c>
      <c r="H1775" s="14">
        <f>IFERROR(__xludf.DUMMYFUNCTION("SPLIT(G1775, "", "")"),44462.0)</f>
        <v>44462</v>
      </c>
      <c r="I1775" s="15">
        <f>IFERROR(__xludf.DUMMYFUNCTION("""COMPUTED_VALUE"""),0.7825578703703704)</f>
        <v>0.7825578704</v>
      </c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</row>
    <row r="1776">
      <c r="A1776" s="12">
        <v>0.28</v>
      </c>
      <c r="B1776" s="12">
        <v>229.9</v>
      </c>
      <c r="C1776" s="12">
        <v>30.1</v>
      </c>
      <c r="D1776" s="12">
        <v>4.73</v>
      </c>
      <c r="E1776" s="12">
        <v>0.47</v>
      </c>
      <c r="F1776" s="12">
        <v>50.0</v>
      </c>
      <c r="G1776" s="13">
        <v>44462.78266140046</v>
      </c>
      <c r="H1776" s="14">
        <f>IFERROR(__xludf.DUMMYFUNCTION("SPLIT(G1776, "", "")"),44462.0)</f>
        <v>44462</v>
      </c>
      <c r="I1776" s="15">
        <f>IFERROR(__xludf.DUMMYFUNCTION("""COMPUTED_VALUE"""),0.7826620370370371)</f>
        <v>0.782662037</v>
      </c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</row>
    <row r="1777">
      <c r="A1777" s="12">
        <v>0.27</v>
      </c>
      <c r="B1777" s="12">
        <v>230.0</v>
      </c>
      <c r="C1777" s="12">
        <v>29.8</v>
      </c>
      <c r="D1777" s="12">
        <v>4.73</v>
      </c>
      <c r="E1777" s="12">
        <v>0.47</v>
      </c>
      <c r="F1777" s="12">
        <v>49.9</v>
      </c>
      <c r="G1777" s="13">
        <v>44462.78275939815</v>
      </c>
      <c r="H1777" s="14">
        <f>IFERROR(__xludf.DUMMYFUNCTION("SPLIT(G1777, "", "")"),44462.0)</f>
        <v>44462</v>
      </c>
      <c r="I1777" s="15">
        <f>IFERROR(__xludf.DUMMYFUNCTION("""COMPUTED_VALUE"""),0.7827546296296296)</f>
        <v>0.7827546296</v>
      </c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</row>
    <row r="1778">
      <c r="A1778" s="12">
        <v>0.27</v>
      </c>
      <c r="B1778" s="12">
        <v>230.0</v>
      </c>
      <c r="C1778" s="12">
        <v>29.6</v>
      </c>
      <c r="D1778" s="12">
        <v>4.73</v>
      </c>
      <c r="E1778" s="12">
        <v>0.47</v>
      </c>
      <c r="F1778" s="12">
        <v>50.0</v>
      </c>
      <c r="G1778" s="13">
        <v>44462.78286420139</v>
      </c>
      <c r="H1778" s="14">
        <f>IFERROR(__xludf.DUMMYFUNCTION("SPLIT(G1778, "", "")"),44462.0)</f>
        <v>44462</v>
      </c>
      <c r="I1778" s="15">
        <f>IFERROR(__xludf.DUMMYFUNCTION("""COMPUTED_VALUE"""),0.7828587962962963)</f>
        <v>0.7828587963</v>
      </c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</row>
    <row r="1779">
      <c r="A1779" s="12">
        <v>0.27</v>
      </c>
      <c r="B1779" s="12">
        <v>229.9</v>
      </c>
      <c r="C1779" s="12">
        <v>29.5</v>
      </c>
      <c r="D1779" s="12">
        <v>4.73</v>
      </c>
      <c r="E1779" s="12">
        <v>0.47</v>
      </c>
      <c r="F1779" s="12">
        <v>50.0</v>
      </c>
      <c r="G1779" s="13">
        <v>44462.782969293985</v>
      </c>
      <c r="H1779" s="14">
        <f>IFERROR(__xludf.DUMMYFUNCTION("SPLIT(G1779, "", "")"),44462.0)</f>
        <v>44462</v>
      </c>
      <c r="I1779" s="15">
        <f>IFERROR(__xludf.DUMMYFUNCTION("""COMPUTED_VALUE"""),0.782974537037037)</f>
        <v>0.782974537</v>
      </c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</row>
    <row r="1780">
      <c r="A1780" s="12">
        <v>0.27</v>
      </c>
      <c r="B1780" s="12">
        <v>229.9</v>
      </c>
      <c r="C1780" s="12">
        <v>29.3</v>
      </c>
      <c r="D1780" s="12">
        <v>4.73</v>
      </c>
      <c r="E1780" s="12">
        <v>0.47</v>
      </c>
      <c r="F1780" s="12">
        <v>50.0</v>
      </c>
      <c r="G1780" s="13">
        <v>44462.78307425926</v>
      </c>
      <c r="H1780" s="14">
        <f>IFERROR(__xludf.DUMMYFUNCTION("SPLIT(G1780, "", "")"),44462.0)</f>
        <v>44462</v>
      </c>
      <c r="I1780" s="15">
        <f>IFERROR(__xludf.DUMMYFUNCTION("""COMPUTED_VALUE"""),0.7830787037037037)</f>
        <v>0.7830787037</v>
      </c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</row>
    <row r="1781">
      <c r="A1781" s="12">
        <v>0.27</v>
      </c>
      <c r="B1781" s="12">
        <v>229.9</v>
      </c>
      <c r="C1781" s="12">
        <v>29.3</v>
      </c>
      <c r="D1781" s="12">
        <v>4.73</v>
      </c>
      <c r="E1781" s="12">
        <v>0.47</v>
      </c>
      <c r="F1781" s="12">
        <v>50.0</v>
      </c>
      <c r="G1781" s="13">
        <v>44462.78318226852</v>
      </c>
      <c r="H1781" s="14">
        <f>IFERROR(__xludf.DUMMYFUNCTION("SPLIT(G1781, "", "")"),44462.0)</f>
        <v>44462</v>
      </c>
      <c r="I1781" s="15">
        <f>IFERROR(__xludf.DUMMYFUNCTION("""COMPUTED_VALUE"""),0.7831828703703704)</f>
        <v>0.7831828704</v>
      </c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</row>
    <row r="1782">
      <c r="A1782" s="12">
        <v>0.27</v>
      </c>
      <c r="B1782" s="12">
        <v>229.8</v>
      </c>
      <c r="C1782" s="12">
        <v>29.0</v>
      </c>
      <c r="D1782" s="12">
        <v>4.73</v>
      </c>
      <c r="E1782" s="12">
        <v>0.47</v>
      </c>
      <c r="F1782" s="12">
        <v>50.0</v>
      </c>
      <c r="G1782" s="13">
        <v>44462.78329799768</v>
      </c>
      <c r="H1782" s="14">
        <f>IFERROR(__xludf.DUMMYFUNCTION("SPLIT(G1782, "", "")"),44462.0)</f>
        <v>44462</v>
      </c>
      <c r="I1782" s="15">
        <f>IFERROR(__xludf.DUMMYFUNCTION("""COMPUTED_VALUE"""),0.7832986111111111)</f>
        <v>0.7832986111</v>
      </c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</row>
    <row r="1783">
      <c r="A1783" s="12">
        <v>0.27</v>
      </c>
      <c r="B1783" s="12">
        <v>229.8</v>
      </c>
      <c r="C1783" s="12">
        <v>28.9</v>
      </c>
      <c r="D1783" s="12">
        <v>4.73</v>
      </c>
      <c r="E1783" s="12">
        <v>0.47</v>
      </c>
      <c r="F1783" s="12">
        <v>50.0</v>
      </c>
      <c r="G1783" s="13">
        <v>44462.78339484954</v>
      </c>
      <c r="H1783" s="14">
        <f>IFERROR(__xludf.DUMMYFUNCTION("SPLIT(G1783, "", "")"),44462.0)</f>
        <v>44462</v>
      </c>
      <c r="I1783" s="15">
        <f>IFERROR(__xludf.DUMMYFUNCTION("""COMPUTED_VALUE"""),0.7833912037037037)</f>
        <v>0.7833912037</v>
      </c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</row>
    <row r="1784">
      <c r="A1784" s="12">
        <v>0.27</v>
      </c>
      <c r="B1784" s="12">
        <v>229.8</v>
      </c>
      <c r="C1784" s="12">
        <v>28.8</v>
      </c>
      <c r="D1784" s="12">
        <v>4.73</v>
      </c>
      <c r="E1784" s="12">
        <v>0.47</v>
      </c>
      <c r="F1784" s="12">
        <v>50.0</v>
      </c>
      <c r="G1784" s="13">
        <v>44462.783492291666</v>
      </c>
      <c r="H1784" s="14">
        <f>IFERROR(__xludf.DUMMYFUNCTION("SPLIT(G1784, "", "")"),44462.0)</f>
        <v>44462</v>
      </c>
      <c r="I1784" s="15">
        <f>IFERROR(__xludf.DUMMYFUNCTION("""COMPUTED_VALUE"""),0.7834953703703704)</f>
        <v>0.7834953704</v>
      </c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</row>
    <row r="1785">
      <c r="A1785" s="12">
        <v>0.27</v>
      </c>
      <c r="B1785" s="12">
        <v>229.8</v>
      </c>
      <c r="C1785" s="12">
        <v>28.7</v>
      </c>
      <c r="D1785" s="12">
        <v>4.73</v>
      </c>
      <c r="E1785" s="12">
        <v>0.47</v>
      </c>
      <c r="F1785" s="12">
        <v>50.0</v>
      </c>
      <c r="G1785" s="13">
        <v>44462.78359171296</v>
      </c>
      <c r="H1785" s="14">
        <f>IFERROR(__xludf.DUMMYFUNCTION("SPLIT(G1785, "", "")"),44462.0)</f>
        <v>44462</v>
      </c>
      <c r="I1785" s="15">
        <f>IFERROR(__xludf.DUMMYFUNCTION("""COMPUTED_VALUE"""),0.783587962962963)</f>
        <v>0.783587963</v>
      </c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</row>
    <row r="1786">
      <c r="A1786" s="12">
        <v>0.26</v>
      </c>
      <c r="B1786" s="12">
        <v>229.0</v>
      </c>
      <c r="C1786" s="12">
        <v>28.2</v>
      </c>
      <c r="D1786" s="12">
        <v>4.73</v>
      </c>
      <c r="E1786" s="12">
        <v>0.47</v>
      </c>
      <c r="F1786" s="12">
        <v>50.0</v>
      </c>
      <c r="G1786" s="13">
        <v>44462.78369244213</v>
      </c>
      <c r="H1786" s="14">
        <f>IFERROR(__xludf.DUMMYFUNCTION("SPLIT(G1786, "", "")"),44462.0)</f>
        <v>44462</v>
      </c>
      <c r="I1786" s="15">
        <f>IFERROR(__xludf.DUMMYFUNCTION("""COMPUTED_VALUE"""),0.7836921296296296)</f>
        <v>0.7836921296</v>
      </c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</row>
    <row r="1787">
      <c r="A1787" s="12">
        <v>0.26</v>
      </c>
      <c r="B1787" s="12">
        <v>229.0</v>
      </c>
      <c r="C1787" s="12">
        <v>28.3</v>
      </c>
      <c r="D1787" s="12">
        <v>4.73</v>
      </c>
      <c r="E1787" s="12">
        <v>0.47</v>
      </c>
      <c r="F1787" s="12">
        <v>50.0</v>
      </c>
      <c r="G1787" s="13">
        <v>44462.783790381945</v>
      </c>
      <c r="H1787" s="14">
        <f>IFERROR(__xludf.DUMMYFUNCTION("SPLIT(G1787, "", "")"),44462.0)</f>
        <v>44462</v>
      </c>
      <c r="I1787" s="15">
        <f>IFERROR(__xludf.DUMMYFUNCTION("""COMPUTED_VALUE"""),0.7837847222222222)</f>
        <v>0.7837847222</v>
      </c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</row>
    <row r="1788">
      <c r="A1788" s="12">
        <v>0.26</v>
      </c>
      <c r="B1788" s="12">
        <v>229.0</v>
      </c>
      <c r="C1788" s="12">
        <v>28.0</v>
      </c>
      <c r="D1788" s="12">
        <v>4.73</v>
      </c>
      <c r="E1788" s="12">
        <v>0.47</v>
      </c>
      <c r="F1788" s="12">
        <v>50.0</v>
      </c>
      <c r="G1788" s="13">
        <v>44462.78388782407</v>
      </c>
      <c r="H1788" s="14">
        <f>IFERROR(__xludf.DUMMYFUNCTION("SPLIT(G1788, "", "")"),44462.0)</f>
        <v>44462</v>
      </c>
      <c r="I1788" s="15">
        <f>IFERROR(__xludf.DUMMYFUNCTION("""COMPUTED_VALUE"""),0.7838888888888889)</f>
        <v>0.7838888889</v>
      </c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</row>
    <row r="1789">
      <c r="A1789" s="12">
        <v>0.26</v>
      </c>
      <c r="B1789" s="12">
        <v>229.0</v>
      </c>
      <c r="C1789" s="12">
        <v>27.9</v>
      </c>
      <c r="D1789" s="12">
        <v>4.73</v>
      </c>
      <c r="E1789" s="12">
        <v>0.47</v>
      </c>
      <c r="F1789" s="12">
        <v>50.0</v>
      </c>
      <c r="G1789" s="13">
        <v>44462.78398532407</v>
      </c>
      <c r="H1789" s="14">
        <f>IFERROR(__xludf.DUMMYFUNCTION("SPLIT(G1789, "", "")"),44462.0)</f>
        <v>44462</v>
      </c>
      <c r="I1789" s="15">
        <f>IFERROR(__xludf.DUMMYFUNCTION("""COMPUTED_VALUE"""),0.7839814814814815)</f>
        <v>0.7839814815</v>
      </c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</row>
    <row r="1790">
      <c r="A1790" s="12">
        <v>0.26</v>
      </c>
      <c r="B1790" s="12">
        <v>229.1</v>
      </c>
      <c r="C1790" s="12">
        <v>27.9</v>
      </c>
      <c r="D1790" s="12">
        <v>4.73</v>
      </c>
      <c r="E1790" s="12">
        <v>0.46</v>
      </c>
      <c r="F1790" s="12">
        <v>50.0</v>
      </c>
      <c r="G1790" s="13">
        <v>44462.7840875463</v>
      </c>
      <c r="H1790" s="14">
        <f>IFERROR(__xludf.DUMMYFUNCTION("SPLIT(G1790, "", "")"),44462.0)</f>
        <v>44462</v>
      </c>
      <c r="I1790" s="15">
        <f>IFERROR(__xludf.DUMMYFUNCTION("""COMPUTED_VALUE"""),0.7840856481481482)</f>
        <v>0.7840856481</v>
      </c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</row>
    <row r="1791">
      <c r="A1791" s="12">
        <v>0.26</v>
      </c>
      <c r="B1791" s="12">
        <v>229.3</v>
      </c>
      <c r="C1791" s="12">
        <v>27.9</v>
      </c>
      <c r="D1791" s="12">
        <v>4.73</v>
      </c>
      <c r="E1791" s="12">
        <v>0.46</v>
      </c>
      <c r="F1791" s="12">
        <v>50.0</v>
      </c>
      <c r="G1791" s="13">
        <v>44462.784203703704</v>
      </c>
      <c r="H1791" s="14">
        <f>IFERROR(__xludf.DUMMYFUNCTION("SPLIT(G1791, "", "")"),44462.0)</f>
        <v>44462</v>
      </c>
      <c r="I1791" s="15">
        <f>IFERROR(__xludf.DUMMYFUNCTION("""COMPUTED_VALUE"""),0.7842013888888889)</f>
        <v>0.7842013889</v>
      </c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</row>
    <row r="1792">
      <c r="A1792" s="12">
        <v>0.26</v>
      </c>
      <c r="B1792" s="12">
        <v>229.3</v>
      </c>
      <c r="C1792" s="12">
        <v>27.8</v>
      </c>
      <c r="D1792" s="12">
        <v>4.73</v>
      </c>
      <c r="E1792" s="12">
        <v>0.46</v>
      </c>
      <c r="F1792" s="12">
        <v>50.0</v>
      </c>
      <c r="G1792" s="13">
        <v>44462.784303946755</v>
      </c>
      <c r="H1792" s="14">
        <f>IFERROR(__xludf.DUMMYFUNCTION("SPLIT(G1792, "", "")"),44462.0)</f>
        <v>44462</v>
      </c>
      <c r="I1792" s="15">
        <f>IFERROR(__xludf.DUMMYFUNCTION("""COMPUTED_VALUE"""),0.7843055555555556)</f>
        <v>0.7843055556</v>
      </c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</row>
    <row r="1793">
      <c r="A1793" s="12">
        <v>0.26</v>
      </c>
      <c r="B1793" s="12">
        <v>228.5</v>
      </c>
      <c r="C1793" s="12">
        <v>27.6</v>
      </c>
      <c r="D1793" s="12">
        <v>4.73</v>
      </c>
      <c r="E1793" s="12">
        <v>0.46</v>
      </c>
      <c r="F1793" s="12">
        <v>50.0</v>
      </c>
      <c r="G1793" s="13">
        <v>44462.78440480324</v>
      </c>
      <c r="H1793" s="14">
        <f>IFERROR(__xludf.DUMMYFUNCTION("SPLIT(G1793, "", "")"),44462.0)</f>
        <v>44462</v>
      </c>
      <c r="I1793" s="15">
        <f>IFERROR(__xludf.DUMMYFUNCTION("""COMPUTED_VALUE"""),0.7844097222222223)</f>
        <v>0.7844097222</v>
      </c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</row>
    <row r="1794">
      <c r="A1794" s="12">
        <v>0.26</v>
      </c>
      <c r="B1794" s="12">
        <v>229.1</v>
      </c>
      <c r="C1794" s="12">
        <v>27.4</v>
      </c>
      <c r="D1794" s="12">
        <v>4.73</v>
      </c>
      <c r="E1794" s="12">
        <v>0.46</v>
      </c>
      <c r="F1794" s="12">
        <v>50.0</v>
      </c>
      <c r="G1794" s="13">
        <v>44462.78450605324</v>
      </c>
      <c r="H1794" s="14">
        <f>IFERROR(__xludf.DUMMYFUNCTION("SPLIT(G1794, "", "")"),44462.0)</f>
        <v>44462</v>
      </c>
      <c r="I1794" s="15">
        <f>IFERROR(__xludf.DUMMYFUNCTION("""COMPUTED_VALUE"""),0.7845023148148148)</f>
        <v>0.7845023148</v>
      </c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</row>
    <row r="1795">
      <c r="A1795" s="12">
        <v>0.26</v>
      </c>
      <c r="B1795" s="12">
        <v>229.1</v>
      </c>
      <c r="C1795" s="12">
        <v>27.4</v>
      </c>
      <c r="D1795" s="12">
        <v>4.73</v>
      </c>
      <c r="E1795" s="12">
        <v>0.46</v>
      </c>
      <c r="F1795" s="12">
        <v>50.0</v>
      </c>
      <c r="G1795" s="13">
        <v>44462.784605127315</v>
      </c>
      <c r="H1795" s="14">
        <f>IFERROR(__xludf.DUMMYFUNCTION("SPLIT(G1795, "", "")"),44462.0)</f>
        <v>44462</v>
      </c>
      <c r="I1795" s="15">
        <f>IFERROR(__xludf.DUMMYFUNCTION("""COMPUTED_VALUE"""),0.7846064814814815)</f>
        <v>0.7846064815</v>
      </c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</row>
    <row r="1796">
      <c r="A1796" s="12">
        <v>0.25</v>
      </c>
      <c r="B1796" s="12">
        <v>229.4</v>
      </c>
      <c r="C1796" s="12">
        <v>27.2</v>
      </c>
      <c r="D1796" s="12">
        <v>4.73</v>
      </c>
      <c r="E1796" s="12">
        <v>0.47</v>
      </c>
      <c r="F1796" s="12">
        <v>50.0</v>
      </c>
      <c r="G1796" s="13">
        <v>44462.78470607639</v>
      </c>
      <c r="H1796" s="14">
        <f>IFERROR(__xludf.DUMMYFUNCTION("SPLIT(G1796, "", "")"),44462.0)</f>
        <v>44462</v>
      </c>
      <c r="I1796" s="15">
        <f>IFERROR(__xludf.DUMMYFUNCTION("""COMPUTED_VALUE"""),0.7847106481481482)</f>
        <v>0.7847106481</v>
      </c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</row>
    <row r="1797">
      <c r="A1797" s="12">
        <v>0.26</v>
      </c>
      <c r="B1797" s="12">
        <v>229.4</v>
      </c>
      <c r="C1797" s="12">
        <v>27.3</v>
      </c>
      <c r="D1797" s="12">
        <v>4.73</v>
      </c>
      <c r="E1797" s="12">
        <v>0.46</v>
      </c>
      <c r="F1797" s="12">
        <v>50.0</v>
      </c>
      <c r="G1797" s="13">
        <v>44462.78480621528</v>
      </c>
      <c r="H1797" s="14">
        <f>IFERROR(__xludf.DUMMYFUNCTION("SPLIT(G1797, "", "")"),44462.0)</f>
        <v>44462</v>
      </c>
      <c r="I1797" s="15">
        <f>IFERROR(__xludf.DUMMYFUNCTION("""COMPUTED_VALUE"""),0.7848032407407407)</f>
        <v>0.7848032407</v>
      </c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</row>
    <row r="1798">
      <c r="A1798" s="12">
        <v>0.26</v>
      </c>
      <c r="B1798" s="12">
        <v>229.3</v>
      </c>
      <c r="C1798" s="12">
        <v>27.2</v>
      </c>
      <c r="D1798" s="12">
        <v>4.73</v>
      </c>
      <c r="E1798" s="12">
        <v>0.46</v>
      </c>
      <c r="F1798" s="12">
        <v>49.9</v>
      </c>
      <c r="G1798" s="13">
        <v>44462.78490752315</v>
      </c>
      <c r="H1798" s="14">
        <f>IFERROR(__xludf.DUMMYFUNCTION("SPLIT(G1798, "", "")"),44462.0)</f>
        <v>44462</v>
      </c>
      <c r="I1798" s="15">
        <f>IFERROR(__xludf.DUMMYFUNCTION("""COMPUTED_VALUE"""),0.7849074074074074)</f>
        <v>0.7849074074</v>
      </c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</row>
    <row r="1799">
      <c r="A1799" s="12">
        <v>0.25</v>
      </c>
      <c r="B1799" s="12">
        <v>229.1</v>
      </c>
      <c r="C1799" s="12">
        <v>26.9</v>
      </c>
      <c r="D1799" s="12">
        <v>4.73</v>
      </c>
      <c r="E1799" s="12">
        <v>0.46</v>
      </c>
      <c r="F1799" s="12">
        <v>49.9</v>
      </c>
      <c r="G1799" s="13">
        <v>44462.785013761575</v>
      </c>
      <c r="H1799" s="14">
        <f>IFERROR(__xludf.DUMMYFUNCTION("SPLIT(G1799, "", "")"),44462.0)</f>
        <v>44462</v>
      </c>
      <c r="I1799" s="15">
        <f>IFERROR(__xludf.DUMMYFUNCTION("""COMPUTED_VALUE"""),0.7850115740740741)</f>
        <v>0.7850115741</v>
      </c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</row>
    <row r="1800">
      <c r="A1800" s="12">
        <v>0.25</v>
      </c>
      <c r="B1800" s="12">
        <v>229.1</v>
      </c>
      <c r="C1800" s="12">
        <v>26.7</v>
      </c>
      <c r="D1800" s="12">
        <v>4.73</v>
      </c>
      <c r="E1800" s="12">
        <v>0.46</v>
      </c>
      <c r="F1800" s="12">
        <v>50.0</v>
      </c>
      <c r="G1800" s="13">
        <v>44462.7851219213</v>
      </c>
      <c r="H1800" s="14">
        <f>IFERROR(__xludf.DUMMYFUNCTION("SPLIT(G1800, "", "")"),44462.0)</f>
        <v>44462</v>
      </c>
      <c r="I1800" s="15">
        <f>IFERROR(__xludf.DUMMYFUNCTION("""COMPUTED_VALUE"""),0.7851273148148148)</f>
        <v>0.7851273148</v>
      </c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</row>
    <row r="1801">
      <c r="A1801" s="12">
        <v>0.25</v>
      </c>
      <c r="B1801" s="12">
        <v>228.9</v>
      </c>
      <c r="C1801" s="12">
        <v>26.7</v>
      </c>
      <c r="D1801" s="12">
        <v>4.73</v>
      </c>
      <c r="E1801" s="12">
        <v>0.46</v>
      </c>
      <c r="F1801" s="12">
        <v>50.0</v>
      </c>
      <c r="G1801" s="13">
        <v>44462.78522200232</v>
      </c>
      <c r="H1801" s="14">
        <f>IFERROR(__xludf.DUMMYFUNCTION("SPLIT(G1801, "", "")"),44462.0)</f>
        <v>44462</v>
      </c>
      <c r="I1801" s="15">
        <f>IFERROR(__xludf.DUMMYFUNCTION("""COMPUTED_VALUE"""),0.7852199074074074)</f>
        <v>0.7852199074</v>
      </c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</row>
    <row r="1802">
      <c r="A1802" s="12">
        <v>0.25</v>
      </c>
      <c r="B1802" s="12">
        <v>229.0</v>
      </c>
      <c r="C1802" s="12">
        <v>26.5</v>
      </c>
      <c r="D1802" s="12">
        <v>4.73</v>
      </c>
      <c r="E1802" s="12">
        <v>0.46</v>
      </c>
      <c r="F1802" s="12">
        <v>50.0</v>
      </c>
      <c r="G1802" s="13">
        <v>44462.78531950232</v>
      </c>
      <c r="H1802" s="14">
        <f>IFERROR(__xludf.DUMMYFUNCTION("SPLIT(G1802, "", "")"),44462.0)</f>
        <v>44462</v>
      </c>
      <c r="I1802" s="15">
        <f>IFERROR(__xludf.DUMMYFUNCTION("""COMPUTED_VALUE"""),0.7853240740740741)</f>
        <v>0.7853240741</v>
      </c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</row>
    <row r="1803">
      <c r="A1803" s="12">
        <v>0.25</v>
      </c>
      <c r="B1803" s="12">
        <v>229.0</v>
      </c>
      <c r="C1803" s="12">
        <v>26.6</v>
      </c>
      <c r="D1803" s="12">
        <v>4.73</v>
      </c>
      <c r="E1803" s="12">
        <v>0.46</v>
      </c>
      <c r="F1803" s="12">
        <v>50.0</v>
      </c>
      <c r="G1803" s="13">
        <v>44462.785419305554</v>
      </c>
      <c r="H1803" s="14">
        <f>IFERROR(__xludf.DUMMYFUNCTION("SPLIT(G1803, "", "")"),44462.0)</f>
        <v>44462</v>
      </c>
      <c r="I1803" s="15">
        <f>IFERROR(__xludf.DUMMYFUNCTION("""COMPUTED_VALUE"""),0.7854166666666667)</f>
        <v>0.7854166667</v>
      </c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</row>
    <row r="1804">
      <c r="A1804" s="12">
        <v>0.25</v>
      </c>
      <c r="B1804" s="12">
        <v>229.1</v>
      </c>
      <c r="C1804" s="12">
        <v>26.4</v>
      </c>
      <c r="D1804" s="12">
        <v>4.73</v>
      </c>
      <c r="E1804" s="12">
        <v>0.46</v>
      </c>
      <c r="F1804" s="12">
        <v>50.0</v>
      </c>
      <c r="G1804" s="13">
        <v>44462.78551854167</v>
      </c>
      <c r="H1804" s="14">
        <f>IFERROR(__xludf.DUMMYFUNCTION("SPLIT(G1804, "", "")"),44462.0)</f>
        <v>44462</v>
      </c>
      <c r="I1804" s="15">
        <f>IFERROR(__xludf.DUMMYFUNCTION("""COMPUTED_VALUE"""),0.7855208333333333)</f>
        <v>0.7855208333</v>
      </c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</row>
    <row r="1805">
      <c r="A1805" s="12">
        <v>0.25</v>
      </c>
      <c r="B1805" s="12">
        <v>229.0</v>
      </c>
      <c r="C1805" s="12">
        <v>26.3</v>
      </c>
      <c r="D1805" s="12">
        <v>4.73</v>
      </c>
      <c r="E1805" s="12">
        <v>0.46</v>
      </c>
      <c r="F1805" s="12">
        <v>50.0</v>
      </c>
      <c r="G1805" s="13">
        <v>44462.78561909722</v>
      </c>
      <c r="H1805" s="14">
        <f>IFERROR(__xludf.DUMMYFUNCTION("SPLIT(G1805, "", "")"),44462.0)</f>
        <v>44462</v>
      </c>
      <c r="I1805" s="15">
        <f>IFERROR(__xludf.DUMMYFUNCTION("""COMPUTED_VALUE"""),0.785613425925926)</f>
        <v>0.7856134259</v>
      </c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</row>
    <row r="1806">
      <c r="A1806" s="12">
        <v>0.25</v>
      </c>
      <c r="B1806" s="12">
        <v>229.0</v>
      </c>
      <c r="C1806" s="12">
        <v>26.3</v>
      </c>
      <c r="D1806" s="12">
        <v>4.73</v>
      </c>
      <c r="E1806" s="12">
        <v>0.46</v>
      </c>
      <c r="F1806" s="12">
        <v>50.0</v>
      </c>
      <c r="G1806" s="13">
        <v>44462.78572100695</v>
      </c>
      <c r="H1806" s="14">
        <f>IFERROR(__xludf.DUMMYFUNCTION("SPLIT(G1806, "", "")"),44462.0)</f>
        <v>44462</v>
      </c>
      <c r="I1806" s="15">
        <f>IFERROR(__xludf.DUMMYFUNCTION("""COMPUTED_VALUE"""),0.7857175925925926)</f>
        <v>0.7857175926</v>
      </c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</row>
    <row r="1807">
      <c r="A1807" s="12">
        <v>0.25</v>
      </c>
      <c r="B1807" s="12">
        <v>229.0</v>
      </c>
      <c r="C1807" s="12">
        <v>26.2</v>
      </c>
      <c r="D1807" s="12">
        <v>4.73</v>
      </c>
      <c r="E1807" s="12">
        <v>0.46</v>
      </c>
      <c r="F1807" s="12">
        <v>50.0</v>
      </c>
      <c r="G1807" s="13">
        <v>44462.78582282407</v>
      </c>
      <c r="H1807" s="14">
        <f>IFERROR(__xludf.DUMMYFUNCTION("SPLIT(G1807, "", "")"),44462.0)</f>
        <v>44462</v>
      </c>
      <c r="I1807" s="15">
        <f>IFERROR(__xludf.DUMMYFUNCTION("""COMPUTED_VALUE"""),0.7858217592592592)</f>
        <v>0.7858217593</v>
      </c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</row>
    <row r="1808">
      <c r="A1808" s="12">
        <v>0.25</v>
      </c>
      <c r="B1808" s="12">
        <v>229.0</v>
      </c>
      <c r="C1808" s="12">
        <v>26.0</v>
      </c>
      <c r="D1808" s="12">
        <v>4.73</v>
      </c>
      <c r="E1808" s="12">
        <v>0.45</v>
      </c>
      <c r="F1808" s="12">
        <v>50.0</v>
      </c>
      <c r="G1808" s="13">
        <v>44462.78592596065</v>
      </c>
      <c r="H1808" s="14">
        <f>IFERROR(__xludf.DUMMYFUNCTION("SPLIT(G1808, "", "")"),44462.0)</f>
        <v>44462</v>
      </c>
      <c r="I1808" s="15">
        <f>IFERROR(__xludf.DUMMYFUNCTION("""COMPUTED_VALUE"""),0.7859259259259259)</f>
        <v>0.7859259259</v>
      </c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</row>
    <row r="1809">
      <c r="A1809" s="12">
        <v>0.25</v>
      </c>
      <c r="B1809" s="12">
        <v>229.1</v>
      </c>
      <c r="C1809" s="12">
        <v>25.9</v>
      </c>
      <c r="D1809" s="12">
        <v>4.73</v>
      </c>
      <c r="E1809" s="12">
        <v>0.46</v>
      </c>
      <c r="F1809" s="12">
        <v>50.0</v>
      </c>
      <c r="G1809" s="13">
        <v>44462.786027187496</v>
      </c>
      <c r="H1809" s="14">
        <f>IFERROR(__xludf.DUMMYFUNCTION("SPLIT(G1809, "", "")"),44462.0)</f>
        <v>44462</v>
      </c>
      <c r="I1809" s="15">
        <f>IFERROR(__xludf.DUMMYFUNCTION("""COMPUTED_VALUE"""),0.7860300925925926)</f>
        <v>0.7860300926</v>
      </c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</row>
    <row r="1810">
      <c r="A1810" s="12">
        <v>0.25</v>
      </c>
      <c r="B1810" s="12">
        <v>229.1</v>
      </c>
      <c r="C1810" s="12">
        <v>25.8</v>
      </c>
      <c r="D1810" s="12">
        <v>4.73</v>
      </c>
      <c r="E1810" s="12">
        <v>0.46</v>
      </c>
      <c r="F1810" s="12">
        <v>50.0</v>
      </c>
      <c r="G1810" s="13">
        <v>44462.786131307876</v>
      </c>
      <c r="H1810" s="14">
        <f>IFERROR(__xludf.DUMMYFUNCTION("SPLIT(G1810, "", "")"),44462.0)</f>
        <v>44462</v>
      </c>
      <c r="I1810" s="15">
        <f>IFERROR(__xludf.DUMMYFUNCTION("""COMPUTED_VALUE"""),0.7861342592592593)</f>
        <v>0.7861342593</v>
      </c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</row>
    <row r="1811">
      <c r="A1811" s="12">
        <v>0.25</v>
      </c>
      <c r="B1811" s="12">
        <v>229.1</v>
      </c>
      <c r="C1811" s="12">
        <v>25.7</v>
      </c>
      <c r="D1811" s="12">
        <v>4.73</v>
      </c>
      <c r="E1811" s="12">
        <v>0.46</v>
      </c>
      <c r="F1811" s="12">
        <v>50.0</v>
      </c>
      <c r="G1811" s="13">
        <v>44462.78623896991</v>
      </c>
      <c r="H1811" s="14">
        <f>IFERROR(__xludf.DUMMYFUNCTION("SPLIT(G1811, "", "")"),44462.0)</f>
        <v>44462</v>
      </c>
      <c r="I1811" s="15">
        <f>IFERROR(__xludf.DUMMYFUNCTION("""COMPUTED_VALUE"""),0.786238425925926)</f>
        <v>0.7862384259</v>
      </c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</row>
    <row r="1812">
      <c r="A1812" s="12">
        <v>0.25</v>
      </c>
      <c r="B1812" s="12">
        <v>229.1</v>
      </c>
      <c r="C1812" s="12">
        <v>25.6</v>
      </c>
      <c r="D1812" s="12">
        <v>4.73</v>
      </c>
      <c r="E1812" s="12">
        <v>0.45</v>
      </c>
      <c r="F1812" s="12">
        <v>50.0</v>
      </c>
      <c r="G1812" s="13">
        <v>44462.7863468287</v>
      </c>
      <c r="H1812" s="14">
        <f>IFERROR(__xludf.DUMMYFUNCTION("SPLIT(G1812, "", "")"),44462.0)</f>
        <v>44462</v>
      </c>
      <c r="I1812" s="15">
        <f>IFERROR(__xludf.DUMMYFUNCTION("""COMPUTED_VALUE"""),0.7863425925925925)</f>
        <v>0.7863425926</v>
      </c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</row>
    <row r="1813">
      <c r="A1813" s="12">
        <v>0.24</v>
      </c>
      <c r="B1813" s="12">
        <v>229.0</v>
      </c>
      <c r="C1813" s="12">
        <v>25.4</v>
      </c>
      <c r="D1813" s="12">
        <v>4.73</v>
      </c>
      <c r="E1813" s="12">
        <v>0.46</v>
      </c>
      <c r="F1813" s="12">
        <v>49.9</v>
      </c>
      <c r="G1813" s="13">
        <v>44462.78645517361</v>
      </c>
      <c r="H1813" s="14">
        <f>IFERROR(__xludf.DUMMYFUNCTION("SPLIT(G1813, "", "")"),44462.0)</f>
        <v>44462</v>
      </c>
      <c r="I1813" s="15">
        <f>IFERROR(__xludf.DUMMYFUNCTION("""COMPUTED_VALUE"""),0.7864583333333334)</f>
        <v>0.7864583333</v>
      </c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</row>
    <row r="1814">
      <c r="A1814" s="12">
        <v>0.24</v>
      </c>
      <c r="B1814" s="12">
        <v>229.1</v>
      </c>
      <c r="C1814" s="12">
        <v>25.2</v>
      </c>
      <c r="D1814" s="12">
        <v>4.73</v>
      </c>
      <c r="E1814" s="12">
        <v>0.46</v>
      </c>
      <c r="F1814" s="12">
        <v>49.9</v>
      </c>
      <c r="G1814" s="13">
        <v>44462.786560196764</v>
      </c>
      <c r="H1814" s="14">
        <f>IFERROR(__xludf.DUMMYFUNCTION("SPLIT(G1814, "", "")"),44462.0)</f>
        <v>44462</v>
      </c>
      <c r="I1814" s="15">
        <f>IFERROR(__xludf.DUMMYFUNCTION("""COMPUTED_VALUE"""),0.7865625)</f>
        <v>0.7865625</v>
      </c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</row>
    <row r="1815">
      <c r="A1815" s="12">
        <v>0.24</v>
      </c>
      <c r="B1815" s="12">
        <v>229.2</v>
      </c>
      <c r="C1815" s="12">
        <v>25.2</v>
      </c>
      <c r="D1815" s="12">
        <v>4.73</v>
      </c>
      <c r="E1815" s="12">
        <v>0.46</v>
      </c>
      <c r="F1815" s="12">
        <v>50.0</v>
      </c>
      <c r="G1815" s="13">
        <v>44462.78666158565</v>
      </c>
      <c r="H1815" s="14">
        <f>IFERROR(__xludf.DUMMYFUNCTION("SPLIT(G1815, "", "")"),44462.0)</f>
        <v>44462</v>
      </c>
      <c r="I1815" s="15">
        <f>IFERROR(__xludf.DUMMYFUNCTION("""COMPUTED_VALUE"""),0.7866666666666666)</f>
        <v>0.7866666667</v>
      </c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</row>
    <row r="1816">
      <c r="A1816" s="12">
        <v>0.24</v>
      </c>
      <c r="B1816" s="12">
        <v>229.2</v>
      </c>
      <c r="C1816" s="12">
        <v>25.1</v>
      </c>
      <c r="D1816" s="12">
        <v>4.73</v>
      </c>
      <c r="E1816" s="12">
        <v>0.45</v>
      </c>
      <c r="F1816" s="12">
        <v>50.0</v>
      </c>
      <c r="G1816" s="13">
        <v>44462.78676631945</v>
      </c>
      <c r="H1816" s="14">
        <f>IFERROR(__xludf.DUMMYFUNCTION("SPLIT(G1816, "", "")"),44462.0)</f>
        <v>44462</v>
      </c>
      <c r="I1816" s="15">
        <f>IFERROR(__xludf.DUMMYFUNCTION("""COMPUTED_VALUE"""),0.7867708333333333)</f>
        <v>0.7867708333</v>
      </c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</row>
    <row r="1817">
      <c r="A1817" s="12">
        <v>0.24</v>
      </c>
      <c r="B1817" s="12">
        <v>229.2</v>
      </c>
      <c r="C1817" s="12">
        <v>25.1</v>
      </c>
      <c r="D1817" s="12">
        <v>4.73</v>
      </c>
      <c r="E1817" s="12">
        <v>0.45</v>
      </c>
      <c r="F1817" s="12">
        <v>50.0</v>
      </c>
      <c r="G1817" s="13">
        <v>44462.78687280093</v>
      </c>
      <c r="H1817" s="14">
        <f>IFERROR(__xludf.DUMMYFUNCTION("SPLIT(G1817, "", "")"),44462.0)</f>
        <v>44462</v>
      </c>
      <c r="I1817" s="15">
        <f>IFERROR(__xludf.DUMMYFUNCTION("""COMPUTED_VALUE"""),0.786875)</f>
        <v>0.786875</v>
      </c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</row>
    <row r="1818">
      <c r="A1818" s="12">
        <v>0.24</v>
      </c>
      <c r="B1818" s="12">
        <v>229.4</v>
      </c>
      <c r="C1818" s="12">
        <v>25.0</v>
      </c>
      <c r="D1818" s="12">
        <v>4.73</v>
      </c>
      <c r="E1818" s="12">
        <v>0.46</v>
      </c>
      <c r="F1818" s="12">
        <v>50.0</v>
      </c>
      <c r="G1818" s="13">
        <v>44462.78697648148</v>
      </c>
      <c r="H1818" s="14">
        <f>IFERROR(__xludf.DUMMYFUNCTION("SPLIT(G1818, "", "")"),44462.0)</f>
        <v>44462</v>
      </c>
      <c r="I1818" s="15">
        <f>IFERROR(__xludf.DUMMYFUNCTION("""COMPUTED_VALUE"""),0.7869791666666667)</f>
        <v>0.7869791667</v>
      </c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</row>
    <row r="1819">
      <c r="A1819" s="12">
        <v>0.24</v>
      </c>
      <c r="B1819" s="12">
        <v>229.4</v>
      </c>
      <c r="C1819" s="12">
        <v>24.9</v>
      </c>
      <c r="D1819" s="12">
        <v>4.73</v>
      </c>
      <c r="E1819" s="12">
        <v>0.45</v>
      </c>
      <c r="F1819" s="12">
        <v>50.0</v>
      </c>
      <c r="G1819" s="13">
        <v>44462.78707935185</v>
      </c>
      <c r="H1819" s="14">
        <f>IFERROR(__xludf.DUMMYFUNCTION("SPLIT(G1819, "", "")"),44462.0)</f>
        <v>44462</v>
      </c>
      <c r="I1819" s="15">
        <f>IFERROR(__xludf.DUMMYFUNCTION("""COMPUTED_VALUE"""),0.7870833333333334)</f>
        <v>0.7870833333</v>
      </c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</row>
    <row r="1820">
      <c r="A1820" s="12">
        <v>0.24</v>
      </c>
      <c r="B1820" s="12">
        <v>229.4</v>
      </c>
      <c r="C1820" s="12">
        <v>24.7</v>
      </c>
      <c r="D1820" s="12">
        <v>4.73</v>
      </c>
      <c r="E1820" s="12">
        <v>0.45</v>
      </c>
      <c r="F1820" s="12">
        <v>50.0</v>
      </c>
      <c r="G1820" s="13">
        <v>44462.78718449074</v>
      </c>
      <c r="H1820" s="14">
        <f>IFERROR(__xludf.DUMMYFUNCTION("SPLIT(G1820, "", "")"),44462.0)</f>
        <v>44462</v>
      </c>
      <c r="I1820" s="15">
        <f>IFERROR(__xludf.DUMMYFUNCTION("""COMPUTED_VALUE"""),0.7871875)</f>
        <v>0.7871875</v>
      </c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</row>
    <row r="1821">
      <c r="A1821" s="12">
        <v>0.24</v>
      </c>
      <c r="B1821" s="12">
        <v>229.3</v>
      </c>
      <c r="C1821" s="12">
        <v>24.8</v>
      </c>
      <c r="D1821" s="12">
        <v>4.73</v>
      </c>
      <c r="E1821" s="12">
        <v>0.45</v>
      </c>
      <c r="F1821" s="12">
        <v>50.0</v>
      </c>
      <c r="G1821" s="13">
        <v>44462.78729025463</v>
      </c>
      <c r="H1821" s="14">
        <f>IFERROR(__xludf.DUMMYFUNCTION("SPLIT(G1821, "", "")"),44462.0)</f>
        <v>44462</v>
      </c>
      <c r="I1821" s="15">
        <f>IFERROR(__xludf.DUMMYFUNCTION("""COMPUTED_VALUE"""),0.7872916666666666)</f>
        <v>0.7872916667</v>
      </c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</row>
    <row r="1822">
      <c r="A1822" s="12">
        <v>0.24</v>
      </c>
      <c r="B1822" s="12">
        <v>229.1</v>
      </c>
      <c r="C1822" s="12">
        <v>24.7</v>
      </c>
      <c r="D1822" s="12">
        <v>4.73</v>
      </c>
      <c r="E1822" s="12">
        <v>0.45</v>
      </c>
      <c r="F1822" s="12">
        <v>50.0</v>
      </c>
      <c r="G1822" s="13">
        <v>44462.78739563657</v>
      </c>
      <c r="H1822" s="14">
        <f>IFERROR(__xludf.DUMMYFUNCTION("SPLIT(G1822, "", "")"),44462.0)</f>
        <v>44462</v>
      </c>
      <c r="I1822" s="15">
        <f>IFERROR(__xludf.DUMMYFUNCTION("""COMPUTED_VALUE"""),0.7873958333333333)</f>
        <v>0.7873958333</v>
      </c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</row>
    <row r="1823">
      <c r="A1823" s="12">
        <v>0.24</v>
      </c>
      <c r="B1823" s="12">
        <v>229.1</v>
      </c>
      <c r="C1823" s="12">
        <v>24.7</v>
      </c>
      <c r="D1823" s="12">
        <v>4.73</v>
      </c>
      <c r="E1823" s="12">
        <v>0.45</v>
      </c>
      <c r="F1823" s="12">
        <v>50.0</v>
      </c>
      <c r="G1823" s="13">
        <v>44462.78750104167</v>
      </c>
      <c r="H1823" s="14">
        <f>IFERROR(__xludf.DUMMYFUNCTION("SPLIT(G1823, "", "")"),44462.0)</f>
        <v>44462</v>
      </c>
      <c r="I1823" s="15">
        <f>IFERROR(__xludf.DUMMYFUNCTION("""COMPUTED_VALUE"""),0.7875)</f>
        <v>0.7875</v>
      </c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</row>
    <row r="1824">
      <c r="A1824" s="12">
        <v>0.24</v>
      </c>
      <c r="B1824" s="12">
        <v>229.2</v>
      </c>
      <c r="C1824" s="12">
        <v>24.5</v>
      </c>
      <c r="D1824" s="12">
        <v>4.73</v>
      </c>
      <c r="E1824" s="12">
        <v>0.45</v>
      </c>
      <c r="F1824" s="12">
        <v>49.9</v>
      </c>
      <c r="G1824" s="13">
        <v>44462.78764550926</v>
      </c>
      <c r="H1824" s="14">
        <f>IFERROR(__xludf.DUMMYFUNCTION("SPLIT(G1824, "", "")"),44462.0)</f>
        <v>44462</v>
      </c>
      <c r="I1824" s="15">
        <f>IFERROR(__xludf.DUMMYFUNCTION("""COMPUTED_VALUE"""),0.7876504629629629)</f>
        <v>0.787650463</v>
      </c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</row>
    <row r="1825">
      <c r="A1825" s="12">
        <v>0.24</v>
      </c>
      <c r="B1825" s="12">
        <v>229.3</v>
      </c>
      <c r="C1825" s="12">
        <v>24.6</v>
      </c>
      <c r="D1825" s="12">
        <v>4.73</v>
      </c>
      <c r="E1825" s="12">
        <v>0.45</v>
      </c>
      <c r="F1825" s="12">
        <v>50.0</v>
      </c>
      <c r="G1825" s="13">
        <v>44462.787748877316</v>
      </c>
      <c r="H1825" s="14">
        <f>IFERROR(__xludf.DUMMYFUNCTION("SPLIT(G1825, "", "")"),44462.0)</f>
        <v>44462</v>
      </c>
      <c r="I1825" s="15">
        <f>IFERROR(__xludf.DUMMYFUNCTION("""COMPUTED_VALUE"""),0.7877546296296296)</f>
        <v>0.7877546296</v>
      </c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</row>
    <row r="1826">
      <c r="A1826" s="12">
        <v>0.24</v>
      </c>
      <c r="B1826" s="12">
        <v>229.5</v>
      </c>
      <c r="C1826" s="12">
        <v>24.4</v>
      </c>
      <c r="D1826" s="12">
        <v>4.73</v>
      </c>
      <c r="E1826" s="12">
        <v>0.45</v>
      </c>
      <c r="F1826" s="12">
        <v>50.0</v>
      </c>
      <c r="G1826" s="13">
        <v>44462.7878509375</v>
      </c>
      <c r="H1826" s="14">
        <f>IFERROR(__xludf.DUMMYFUNCTION("SPLIT(G1826, "", "")"),44462.0)</f>
        <v>44462</v>
      </c>
      <c r="I1826" s="15">
        <f>IFERROR(__xludf.DUMMYFUNCTION("""COMPUTED_VALUE"""),0.7878472222222223)</f>
        <v>0.7878472222</v>
      </c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</row>
    <row r="1827">
      <c r="A1827" s="12">
        <v>0.23</v>
      </c>
      <c r="B1827" s="12">
        <v>229.5</v>
      </c>
      <c r="C1827" s="12">
        <v>24.3</v>
      </c>
      <c r="D1827" s="12">
        <v>4.73</v>
      </c>
      <c r="E1827" s="12">
        <v>0.45</v>
      </c>
      <c r="F1827" s="12">
        <v>50.0</v>
      </c>
      <c r="G1827" s="13">
        <v>44462.787949791666</v>
      </c>
      <c r="H1827" s="14">
        <f>IFERROR(__xludf.DUMMYFUNCTION("SPLIT(G1827, "", "")"),44462.0)</f>
        <v>44462</v>
      </c>
      <c r="I1827" s="15">
        <f>IFERROR(__xludf.DUMMYFUNCTION("""COMPUTED_VALUE"""),0.7879513888888889)</f>
        <v>0.7879513889</v>
      </c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</row>
    <row r="1828">
      <c r="A1828" s="12">
        <v>0.23</v>
      </c>
      <c r="B1828" s="12">
        <v>229.3</v>
      </c>
      <c r="C1828" s="12">
        <v>24.1</v>
      </c>
      <c r="D1828" s="12">
        <v>4.73</v>
      </c>
      <c r="E1828" s="12">
        <v>0.45</v>
      </c>
      <c r="F1828" s="12">
        <v>50.0</v>
      </c>
      <c r="G1828" s="13">
        <v>44462.788049270835</v>
      </c>
      <c r="H1828" s="14">
        <f>IFERROR(__xludf.DUMMYFUNCTION("SPLIT(G1828, "", "")"),44462.0)</f>
        <v>44462</v>
      </c>
      <c r="I1828" s="15">
        <f>IFERROR(__xludf.DUMMYFUNCTION("""COMPUTED_VALUE"""),0.7880439814814815)</f>
        <v>0.7880439815</v>
      </c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</row>
    <row r="1829">
      <c r="A1829" s="12">
        <v>0.23</v>
      </c>
      <c r="B1829" s="12">
        <v>229.6</v>
      </c>
      <c r="C1829" s="12">
        <v>24.0</v>
      </c>
      <c r="D1829" s="12">
        <v>4.73</v>
      </c>
      <c r="E1829" s="12">
        <v>0.45</v>
      </c>
      <c r="F1829" s="12">
        <v>50.0</v>
      </c>
      <c r="G1829" s="13">
        <v>44462.78814853009</v>
      </c>
      <c r="H1829" s="14">
        <f>IFERROR(__xludf.DUMMYFUNCTION("SPLIT(G1829, "", "")"),44462.0)</f>
        <v>44462</v>
      </c>
      <c r="I1829" s="15">
        <f>IFERROR(__xludf.DUMMYFUNCTION("""COMPUTED_VALUE"""),0.7881481481481482)</f>
        <v>0.7881481481</v>
      </c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</row>
    <row r="1830">
      <c r="A1830" s="12">
        <v>0.23</v>
      </c>
      <c r="B1830" s="12">
        <v>229.6</v>
      </c>
      <c r="C1830" s="12">
        <v>23.8</v>
      </c>
      <c r="D1830" s="12">
        <v>4.73</v>
      </c>
      <c r="E1830" s="12">
        <v>0.45</v>
      </c>
      <c r="F1830" s="12">
        <v>50.0</v>
      </c>
      <c r="G1830" s="13">
        <v>44462.788248425924</v>
      </c>
      <c r="H1830" s="14">
        <f>IFERROR(__xludf.DUMMYFUNCTION("SPLIT(G1830, "", "")"),44462.0)</f>
        <v>44462</v>
      </c>
      <c r="I1830" s="15">
        <f>IFERROR(__xludf.DUMMYFUNCTION("""COMPUTED_VALUE"""),0.7882523148148148)</f>
        <v>0.7882523148</v>
      </c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</row>
    <row r="1831">
      <c r="A1831" s="12">
        <v>0.23</v>
      </c>
      <c r="B1831" s="12">
        <v>229.7</v>
      </c>
      <c r="C1831" s="12">
        <v>23.9</v>
      </c>
      <c r="D1831" s="12">
        <v>4.73</v>
      </c>
      <c r="E1831" s="12">
        <v>0.45</v>
      </c>
      <c r="F1831" s="12">
        <v>50.0</v>
      </c>
      <c r="G1831" s="13">
        <v>44462.78834908565</v>
      </c>
      <c r="H1831" s="14">
        <f>IFERROR(__xludf.DUMMYFUNCTION("SPLIT(G1831, "", "")"),44462.0)</f>
        <v>44462</v>
      </c>
      <c r="I1831" s="15">
        <f>IFERROR(__xludf.DUMMYFUNCTION("""COMPUTED_VALUE"""),0.7883449074074074)</f>
        <v>0.7883449074</v>
      </c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</row>
    <row r="1832">
      <c r="A1832" s="12">
        <v>0.23</v>
      </c>
      <c r="B1832" s="12">
        <v>229.7</v>
      </c>
      <c r="C1832" s="12">
        <v>23.8</v>
      </c>
      <c r="D1832" s="12">
        <v>4.73</v>
      </c>
      <c r="E1832" s="12">
        <v>0.45</v>
      </c>
      <c r="F1832" s="12">
        <v>50.0</v>
      </c>
      <c r="G1832" s="13">
        <v>44462.78845231481</v>
      </c>
      <c r="H1832" s="14">
        <f>IFERROR(__xludf.DUMMYFUNCTION("SPLIT(G1832, "", "")"),44462.0)</f>
        <v>44462</v>
      </c>
      <c r="I1832" s="15">
        <f>IFERROR(__xludf.DUMMYFUNCTION("""COMPUTED_VALUE"""),0.788449074074074)</f>
        <v>0.7884490741</v>
      </c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</row>
    <row r="1833">
      <c r="A1833" s="12">
        <v>0.23</v>
      </c>
      <c r="B1833" s="12">
        <v>229.5</v>
      </c>
      <c r="C1833" s="12">
        <v>23.7</v>
      </c>
      <c r="D1833" s="12">
        <v>4.73</v>
      </c>
      <c r="E1833" s="12">
        <v>0.45</v>
      </c>
      <c r="F1833" s="12">
        <v>49.9</v>
      </c>
      <c r="G1833" s="13">
        <v>44462.788554513885</v>
      </c>
      <c r="H1833" s="14">
        <f>IFERROR(__xludf.DUMMYFUNCTION("SPLIT(G1833, "", "")"),44462.0)</f>
        <v>44462</v>
      </c>
      <c r="I1833" s="15">
        <f>IFERROR(__xludf.DUMMYFUNCTION("""COMPUTED_VALUE"""),0.7885532407407407)</f>
        <v>0.7885532407</v>
      </c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</row>
    <row r="1834">
      <c r="A1834" s="12">
        <v>0.23</v>
      </c>
      <c r="B1834" s="12">
        <v>229.5</v>
      </c>
      <c r="C1834" s="12">
        <v>23.5</v>
      </c>
      <c r="D1834" s="12">
        <v>4.73</v>
      </c>
      <c r="E1834" s="12">
        <v>0.45</v>
      </c>
      <c r="F1834" s="12">
        <v>49.9</v>
      </c>
      <c r="G1834" s="13">
        <v>44462.78865650463</v>
      </c>
      <c r="H1834" s="14">
        <f>IFERROR(__xludf.DUMMYFUNCTION("SPLIT(G1834, "", "")"),44462.0)</f>
        <v>44462</v>
      </c>
      <c r="I1834" s="15">
        <f>IFERROR(__xludf.DUMMYFUNCTION("""COMPUTED_VALUE"""),0.7886574074074074)</f>
        <v>0.7886574074</v>
      </c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</row>
    <row r="1835">
      <c r="A1835" s="12">
        <v>0.23</v>
      </c>
      <c r="B1835" s="12">
        <v>229.4</v>
      </c>
      <c r="C1835" s="12">
        <v>23.5</v>
      </c>
      <c r="D1835" s="12">
        <v>4.73</v>
      </c>
      <c r="E1835" s="12">
        <v>0.45</v>
      </c>
      <c r="F1835" s="12">
        <v>49.9</v>
      </c>
      <c r="G1835" s="13">
        <v>44462.788757766204</v>
      </c>
      <c r="H1835" s="14">
        <f>IFERROR(__xludf.DUMMYFUNCTION("SPLIT(G1835, "", "")"),44462.0)</f>
        <v>44462</v>
      </c>
      <c r="I1835" s="15">
        <f>IFERROR(__xludf.DUMMYFUNCTION("""COMPUTED_VALUE"""),0.7887615740740741)</f>
        <v>0.7887615741</v>
      </c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</row>
    <row r="1836">
      <c r="A1836" s="12">
        <v>0.23</v>
      </c>
      <c r="B1836" s="12">
        <v>229.5</v>
      </c>
      <c r="C1836" s="12">
        <v>23.5</v>
      </c>
      <c r="D1836" s="12">
        <v>4.73</v>
      </c>
      <c r="E1836" s="12">
        <v>0.45</v>
      </c>
      <c r="F1836" s="12">
        <v>49.9</v>
      </c>
      <c r="G1836" s="13">
        <v>44462.78885689814</v>
      </c>
      <c r="H1836" s="14">
        <f>IFERROR(__xludf.DUMMYFUNCTION("SPLIT(G1836, "", "")"),44462.0)</f>
        <v>44462</v>
      </c>
      <c r="I1836" s="15">
        <f>IFERROR(__xludf.DUMMYFUNCTION("""COMPUTED_VALUE"""),0.7888541666666666)</f>
        <v>0.7888541667</v>
      </c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</row>
    <row r="1837">
      <c r="A1837" s="12">
        <v>0.23</v>
      </c>
      <c r="B1837" s="12">
        <v>229.5</v>
      </c>
      <c r="C1837" s="12">
        <v>23.4</v>
      </c>
      <c r="D1837" s="12">
        <v>4.73</v>
      </c>
      <c r="E1837" s="12">
        <v>0.45</v>
      </c>
      <c r="F1837" s="12">
        <v>49.9</v>
      </c>
      <c r="G1837" s="13">
        <v>44462.788953888885</v>
      </c>
      <c r="H1837" s="14">
        <f>IFERROR(__xludf.DUMMYFUNCTION("SPLIT(G1837, "", "")"),44462.0)</f>
        <v>44462</v>
      </c>
      <c r="I1837" s="15">
        <f>IFERROR(__xludf.DUMMYFUNCTION("""COMPUTED_VALUE"""),0.7889583333333333)</f>
        <v>0.7889583333</v>
      </c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</row>
    <row r="1838">
      <c r="A1838" s="12">
        <v>0.23</v>
      </c>
      <c r="B1838" s="12">
        <v>229.5</v>
      </c>
      <c r="C1838" s="12">
        <v>23.4</v>
      </c>
      <c r="D1838" s="12">
        <v>4.73</v>
      </c>
      <c r="E1838" s="12">
        <v>0.45</v>
      </c>
      <c r="F1838" s="12">
        <v>50.0</v>
      </c>
      <c r="G1838" s="13">
        <v>44462.78904953704</v>
      </c>
      <c r="H1838" s="14">
        <f>IFERROR(__xludf.DUMMYFUNCTION("SPLIT(G1838, "", "")"),44462.0)</f>
        <v>44462</v>
      </c>
      <c r="I1838" s="15">
        <f>IFERROR(__xludf.DUMMYFUNCTION("""COMPUTED_VALUE"""),0.789050925925926)</f>
        <v>0.7890509259</v>
      </c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</row>
    <row r="1839">
      <c r="A1839" s="12">
        <v>0.22</v>
      </c>
      <c r="B1839" s="12">
        <v>229.5</v>
      </c>
      <c r="C1839" s="12">
        <v>23.2</v>
      </c>
      <c r="D1839" s="12">
        <v>4.73</v>
      </c>
      <c r="E1839" s="12">
        <v>0.45</v>
      </c>
      <c r="F1839" s="12">
        <v>50.0</v>
      </c>
      <c r="G1839" s="13">
        <v>44462.78914540509</v>
      </c>
      <c r="H1839" s="14">
        <f>IFERROR(__xludf.DUMMYFUNCTION("SPLIT(G1839, "", "")"),44462.0)</f>
        <v>44462</v>
      </c>
      <c r="I1839" s="15">
        <f>IFERROR(__xludf.DUMMYFUNCTION("""COMPUTED_VALUE"""),0.7891435185185185)</f>
        <v>0.7891435185</v>
      </c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</row>
    <row r="1840">
      <c r="A1840" s="12">
        <v>0.23</v>
      </c>
      <c r="B1840" s="12">
        <v>230.0</v>
      </c>
      <c r="C1840" s="12">
        <v>23.4</v>
      </c>
      <c r="D1840" s="12">
        <v>4.73</v>
      </c>
      <c r="E1840" s="12">
        <v>0.45</v>
      </c>
      <c r="F1840" s="12">
        <v>50.0</v>
      </c>
      <c r="G1840" s="13">
        <v>44462.789245</v>
      </c>
      <c r="H1840" s="14">
        <f>IFERROR(__xludf.DUMMYFUNCTION("SPLIT(G1840, "", "")"),44462.0)</f>
        <v>44462</v>
      </c>
      <c r="I1840" s="15">
        <f>IFERROR(__xludf.DUMMYFUNCTION("""COMPUTED_VALUE"""),0.7892476851851852)</f>
        <v>0.7892476852</v>
      </c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</row>
    <row r="1841">
      <c r="A1841" s="12">
        <v>0.23</v>
      </c>
      <c r="B1841" s="12">
        <v>229.9</v>
      </c>
      <c r="C1841" s="12">
        <v>23.3</v>
      </c>
      <c r="D1841" s="12">
        <v>4.73</v>
      </c>
      <c r="E1841" s="12">
        <v>0.45</v>
      </c>
      <c r="F1841" s="12">
        <v>50.0</v>
      </c>
      <c r="G1841" s="13">
        <v>44462.78934047454</v>
      </c>
      <c r="H1841" s="14">
        <f>IFERROR(__xludf.DUMMYFUNCTION("SPLIT(G1841, "", "")"),44462.0)</f>
        <v>44462</v>
      </c>
      <c r="I1841" s="15">
        <f>IFERROR(__xludf.DUMMYFUNCTION("""COMPUTED_VALUE"""),0.7893402777777778)</f>
        <v>0.7893402778</v>
      </c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</row>
    <row r="1842">
      <c r="A1842" s="12">
        <v>0.22</v>
      </c>
      <c r="B1842" s="12">
        <v>229.9</v>
      </c>
      <c r="C1842" s="12">
        <v>23.2</v>
      </c>
      <c r="D1842" s="12">
        <v>4.73</v>
      </c>
      <c r="E1842" s="12">
        <v>0.45</v>
      </c>
      <c r="F1842" s="12">
        <v>50.0</v>
      </c>
      <c r="G1842" s="13">
        <v>44462.789440231485</v>
      </c>
      <c r="H1842" s="14">
        <f>IFERROR(__xludf.DUMMYFUNCTION("SPLIT(G1842, "", "")"),44462.0)</f>
        <v>44462</v>
      </c>
      <c r="I1842" s="15">
        <f>IFERROR(__xludf.DUMMYFUNCTION("""COMPUTED_VALUE"""),0.7894444444444444)</f>
        <v>0.7894444444</v>
      </c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</row>
    <row r="1843">
      <c r="A1843" s="12">
        <v>0.22</v>
      </c>
      <c r="B1843" s="12">
        <v>229.9</v>
      </c>
      <c r="C1843" s="12">
        <v>23.1</v>
      </c>
      <c r="D1843" s="12">
        <v>4.73</v>
      </c>
      <c r="E1843" s="12">
        <v>0.45</v>
      </c>
      <c r="F1843" s="12">
        <v>50.0</v>
      </c>
      <c r="G1843" s="13">
        <v>44462.78954197917</v>
      </c>
      <c r="H1843" s="14">
        <f>IFERROR(__xludf.DUMMYFUNCTION("SPLIT(G1843, "", "")"),44462.0)</f>
        <v>44462</v>
      </c>
      <c r="I1843" s="15">
        <f>IFERROR(__xludf.DUMMYFUNCTION("""COMPUTED_VALUE"""),0.789537037037037)</f>
        <v>0.789537037</v>
      </c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</row>
    <row r="1844">
      <c r="A1844" s="12">
        <v>0.22</v>
      </c>
      <c r="B1844" s="12">
        <v>229.8</v>
      </c>
      <c r="C1844" s="12">
        <v>23.0</v>
      </c>
      <c r="D1844" s="12">
        <v>4.73</v>
      </c>
      <c r="E1844" s="12">
        <v>0.45</v>
      </c>
      <c r="F1844" s="12">
        <v>50.0</v>
      </c>
      <c r="G1844" s="13">
        <v>44462.789645069446</v>
      </c>
      <c r="H1844" s="14">
        <f>IFERROR(__xludf.DUMMYFUNCTION("SPLIT(G1844, "", "")"),44462.0)</f>
        <v>44462</v>
      </c>
      <c r="I1844" s="15">
        <f>IFERROR(__xludf.DUMMYFUNCTION("""COMPUTED_VALUE"""),0.7896412037037037)</f>
        <v>0.7896412037</v>
      </c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</row>
    <row r="1845">
      <c r="A1845" s="12">
        <v>0.22</v>
      </c>
      <c r="B1845" s="12">
        <v>229.9</v>
      </c>
      <c r="C1845" s="12">
        <v>22.9</v>
      </c>
      <c r="D1845" s="12">
        <v>4.73</v>
      </c>
      <c r="E1845" s="12">
        <v>0.45</v>
      </c>
      <c r="F1845" s="12">
        <v>50.0</v>
      </c>
      <c r="G1845" s="13">
        <v>44462.7897749074</v>
      </c>
      <c r="H1845" s="14">
        <f>IFERROR(__xludf.DUMMYFUNCTION("SPLIT(G1845, "", "")"),44462.0)</f>
        <v>44462</v>
      </c>
      <c r="I1845" s="15">
        <f>IFERROR(__xludf.DUMMYFUNCTION("""COMPUTED_VALUE"""),0.7897800925925926)</f>
        <v>0.7897800926</v>
      </c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</row>
    <row r="1846">
      <c r="A1846" s="12">
        <v>0.22</v>
      </c>
      <c r="B1846" s="12">
        <v>230.1</v>
      </c>
      <c r="C1846" s="12">
        <v>22.8</v>
      </c>
      <c r="D1846" s="12">
        <v>4.73</v>
      </c>
      <c r="E1846" s="12">
        <v>0.44</v>
      </c>
      <c r="F1846" s="12">
        <v>50.0</v>
      </c>
      <c r="G1846" s="13">
        <v>44462.78987659722</v>
      </c>
      <c r="H1846" s="14">
        <f>IFERROR(__xludf.DUMMYFUNCTION("SPLIT(G1846, "", "")"),44462.0)</f>
        <v>44462</v>
      </c>
      <c r="I1846" s="15">
        <f>IFERROR(__xludf.DUMMYFUNCTION("""COMPUTED_VALUE"""),0.7898726851851852)</f>
        <v>0.7898726852</v>
      </c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</row>
    <row r="1847">
      <c r="A1847" s="12">
        <v>0.22</v>
      </c>
      <c r="B1847" s="12">
        <v>230.1</v>
      </c>
      <c r="C1847" s="12">
        <v>22.9</v>
      </c>
      <c r="D1847" s="12">
        <v>4.73</v>
      </c>
      <c r="E1847" s="12">
        <v>0.44</v>
      </c>
      <c r="F1847" s="12">
        <v>50.0</v>
      </c>
      <c r="G1847" s="13">
        <v>44462.78997990741</v>
      </c>
      <c r="H1847" s="14">
        <f>IFERROR(__xludf.DUMMYFUNCTION("SPLIT(G1847, "", "")"),44462.0)</f>
        <v>44462</v>
      </c>
      <c r="I1847" s="15">
        <f>IFERROR(__xludf.DUMMYFUNCTION("""COMPUTED_VALUE"""),0.7899768518518518)</f>
        <v>0.7899768519</v>
      </c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</row>
    <row r="1848">
      <c r="A1848" s="12">
        <v>0.22</v>
      </c>
      <c r="B1848" s="12">
        <v>230.1</v>
      </c>
      <c r="C1848" s="12">
        <v>22.8</v>
      </c>
      <c r="D1848" s="12">
        <v>4.73</v>
      </c>
      <c r="E1848" s="12">
        <v>0.44</v>
      </c>
      <c r="F1848" s="12">
        <v>50.0</v>
      </c>
      <c r="G1848" s="13">
        <v>44462.79008576389</v>
      </c>
      <c r="H1848" s="14">
        <f>IFERROR(__xludf.DUMMYFUNCTION("SPLIT(G1848, "", "")"),44462.0)</f>
        <v>44462</v>
      </c>
      <c r="I1848" s="15">
        <f>IFERROR(__xludf.DUMMYFUNCTION("""COMPUTED_VALUE"""),0.7900810185185185)</f>
        <v>0.7900810185</v>
      </c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</row>
    <row r="1849">
      <c r="A1849" s="12">
        <v>0.22</v>
      </c>
      <c r="B1849" s="12">
        <v>229.9</v>
      </c>
      <c r="C1849" s="12">
        <v>22.5</v>
      </c>
      <c r="D1849" s="12">
        <v>4.73</v>
      </c>
      <c r="E1849" s="12">
        <v>0.44</v>
      </c>
      <c r="F1849" s="12">
        <v>50.0</v>
      </c>
      <c r="G1849" s="13">
        <v>44462.79019377315</v>
      </c>
      <c r="H1849" s="14">
        <f>IFERROR(__xludf.DUMMYFUNCTION("SPLIT(G1849, "", "")"),44462.0)</f>
        <v>44462</v>
      </c>
      <c r="I1849" s="15">
        <f>IFERROR(__xludf.DUMMYFUNCTION("""COMPUTED_VALUE"""),0.7901967592592593)</f>
        <v>0.7901967593</v>
      </c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</row>
    <row r="1850">
      <c r="A1850" s="12">
        <v>0.22</v>
      </c>
      <c r="B1850" s="12">
        <v>230.0</v>
      </c>
      <c r="C1850" s="12">
        <v>22.5</v>
      </c>
      <c r="D1850" s="12">
        <v>4.73</v>
      </c>
      <c r="E1850" s="12">
        <v>0.44</v>
      </c>
      <c r="F1850" s="12">
        <v>50.0</v>
      </c>
      <c r="G1850" s="13">
        <v>44462.790299976856</v>
      </c>
      <c r="H1850" s="14">
        <f>IFERROR(__xludf.DUMMYFUNCTION("SPLIT(G1850, "", "")"),44462.0)</f>
        <v>44462</v>
      </c>
      <c r="I1850" s="15">
        <f>IFERROR(__xludf.DUMMYFUNCTION("""COMPUTED_VALUE"""),0.7903009259259259)</f>
        <v>0.7903009259</v>
      </c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</row>
    <row r="1851">
      <c r="A1851" s="12">
        <v>0.22</v>
      </c>
      <c r="B1851" s="12">
        <v>229.9</v>
      </c>
      <c r="C1851" s="12">
        <v>22.4</v>
      </c>
      <c r="D1851" s="12">
        <v>4.73</v>
      </c>
      <c r="E1851" s="12">
        <v>0.44</v>
      </c>
      <c r="F1851" s="12">
        <v>50.0</v>
      </c>
      <c r="G1851" s="13">
        <v>44462.79040571759</v>
      </c>
      <c r="H1851" s="14">
        <f>IFERROR(__xludf.DUMMYFUNCTION("SPLIT(G1851, "", "")"),44462.0)</f>
        <v>44462</v>
      </c>
      <c r="I1851" s="15">
        <f>IFERROR(__xludf.DUMMYFUNCTION("""COMPUTED_VALUE"""),0.7904050925925926)</f>
        <v>0.7904050926</v>
      </c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</row>
    <row r="1852">
      <c r="A1852" s="12">
        <v>0.22</v>
      </c>
      <c r="B1852" s="12">
        <v>229.8</v>
      </c>
      <c r="C1852" s="12">
        <v>22.2</v>
      </c>
      <c r="D1852" s="12">
        <v>4.73</v>
      </c>
      <c r="E1852" s="12">
        <v>0.44</v>
      </c>
      <c r="F1852" s="12">
        <v>50.0</v>
      </c>
      <c r="G1852" s="13">
        <v>44462.790518483795</v>
      </c>
      <c r="H1852" s="14">
        <f>IFERROR(__xludf.DUMMYFUNCTION("SPLIT(G1852, "", "")"),44462.0)</f>
        <v>44462</v>
      </c>
      <c r="I1852" s="15">
        <f>IFERROR(__xludf.DUMMYFUNCTION("""COMPUTED_VALUE"""),0.7905208333333333)</f>
        <v>0.7905208333</v>
      </c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</row>
    <row r="1853">
      <c r="A1853" s="12">
        <v>0.22</v>
      </c>
      <c r="B1853" s="12">
        <v>229.8</v>
      </c>
      <c r="C1853" s="12">
        <v>22.1</v>
      </c>
      <c r="D1853" s="12">
        <v>4.73</v>
      </c>
      <c r="E1853" s="12">
        <v>0.45</v>
      </c>
      <c r="F1853" s="12">
        <v>50.0</v>
      </c>
      <c r="G1853" s="13">
        <v>44462.79062594907</v>
      </c>
      <c r="H1853" s="14">
        <f>IFERROR(__xludf.DUMMYFUNCTION("SPLIT(G1853, "", "")"),44462.0)</f>
        <v>44462</v>
      </c>
      <c r="I1853" s="15">
        <f>IFERROR(__xludf.DUMMYFUNCTION("""COMPUTED_VALUE"""),0.790625)</f>
        <v>0.790625</v>
      </c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</row>
    <row r="1854">
      <c r="A1854" s="12">
        <v>0.22</v>
      </c>
      <c r="B1854" s="12">
        <v>229.6</v>
      </c>
      <c r="C1854" s="12">
        <v>22.0</v>
      </c>
      <c r="D1854" s="12">
        <v>4.73</v>
      </c>
      <c r="E1854" s="12">
        <v>0.45</v>
      </c>
      <c r="F1854" s="12">
        <v>49.9</v>
      </c>
      <c r="G1854" s="13">
        <v>44462.790727893516</v>
      </c>
      <c r="H1854" s="14">
        <f>IFERROR(__xludf.DUMMYFUNCTION("SPLIT(G1854, "", "")"),44462.0)</f>
        <v>44462</v>
      </c>
      <c r="I1854" s="15">
        <f>IFERROR(__xludf.DUMMYFUNCTION("""COMPUTED_VALUE"""),0.7907291666666667)</f>
        <v>0.7907291667</v>
      </c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</row>
    <row r="1855">
      <c r="A1855" s="12">
        <v>0.22</v>
      </c>
      <c r="B1855" s="12">
        <v>229.7</v>
      </c>
      <c r="C1855" s="12">
        <v>21.9</v>
      </c>
      <c r="D1855" s="12">
        <v>4.73</v>
      </c>
      <c r="E1855" s="12">
        <v>0.44</v>
      </c>
      <c r="F1855" s="12">
        <v>49.9</v>
      </c>
      <c r="G1855" s="13">
        <v>44462.790836562504</v>
      </c>
      <c r="H1855" s="14">
        <f>IFERROR(__xludf.DUMMYFUNCTION("SPLIT(G1855, "", "")"),44462.0)</f>
        <v>44462</v>
      </c>
      <c r="I1855" s="15">
        <f>IFERROR(__xludf.DUMMYFUNCTION("""COMPUTED_VALUE"""),0.7908333333333334)</f>
        <v>0.7908333333</v>
      </c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</row>
    <row r="1856">
      <c r="A1856" s="12">
        <v>0.22</v>
      </c>
      <c r="B1856" s="12">
        <v>229.8</v>
      </c>
      <c r="C1856" s="12">
        <v>22.0</v>
      </c>
      <c r="D1856" s="12">
        <v>4.73</v>
      </c>
      <c r="E1856" s="12">
        <v>0.44</v>
      </c>
      <c r="F1856" s="12">
        <v>49.9</v>
      </c>
      <c r="G1856" s="13">
        <v>44462.79093739583</v>
      </c>
      <c r="H1856" s="14">
        <f>IFERROR(__xludf.DUMMYFUNCTION("SPLIT(G1856, "", "")"),44462.0)</f>
        <v>44462</v>
      </c>
      <c r="I1856" s="15">
        <f>IFERROR(__xludf.DUMMYFUNCTION("""COMPUTED_VALUE"""),0.7909375)</f>
        <v>0.7909375</v>
      </c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</row>
    <row r="1857">
      <c r="A1857" s="12">
        <v>0.22</v>
      </c>
      <c r="B1857" s="12">
        <v>229.8</v>
      </c>
      <c r="C1857" s="12">
        <v>21.9</v>
      </c>
      <c r="D1857" s="12">
        <v>4.73</v>
      </c>
      <c r="E1857" s="12">
        <v>0.44</v>
      </c>
      <c r="F1857" s="12">
        <v>50.0</v>
      </c>
      <c r="G1857" s="13">
        <v>44462.79103738426</v>
      </c>
      <c r="H1857" s="14">
        <f>IFERROR(__xludf.DUMMYFUNCTION("SPLIT(G1857, "", "")"),44462.0)</f>
        <v>44462</v>
      </c>
      <c r="I1857" s="15">
        <f>IFERROR(__xludf.DUMMYFUNCTION("""COMPUTED_VALUE"""),0.7910416666666666)</f>
        <v>0.7910416667</v>
      </c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</row>
    <row r="1858">
      <c r="A1858" s="12">
        <v>0.21</v>
      </c>
      <c r="B1858" s="12">
        <v>229.8</v>
      </c>
      <c r="C1858" s="12">
        <v>21.8</v>
      </c>
      <c r="D1858" s="12">
        <v>4.73</v>
      </c>
      <c r="E1858" s="12">
        <v>0.44</v>
      </c>
      <c r="F1858" s="12">
        <v>50.0</v>
      </c>
      <c r="G1858" s="13">
        <v>44462.79113549768</v>
      </c>
      <c r="H1858" s="14">
        <f>IFERROR(__xludf.DUMMYFUNCTION("SPLIT(G1858, "", "")"),44462.0)</f>
        <v>44462</v>
      </c>
      <c r="I1858" s="15">
        <f>IFERROR(__xludf.DUMMYFUNCTION("""COMPUTED_VALUE"""),0.7911342592592593)</f>
        <v>0.7911342593</v>
      </c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</row>
    <row r="1859">
      <c r="A1859" s="12">
        <v>0.21</v>
      </c>
      <c r="B1859" s="12">
        <v>229.9</v>
      </c>
      <c r="C1859" s="12">
        <v>21.8</v>
      </c>
      <c r="D1859" s="12">
        <v>4.73</v>
      </c>
      <c r="E1859" s="12">
        <v>0.44</v>
      </c>
      <c r="F1859" s="12">
        <v>50.0</v>
      </c>
      <c r="G1859" s="13">
        <v>44462.79123957176</v>
      </c>
      <c r="H1859" s="14">
        <f>IFERROR(__xludf.DUMMYFUNCTION("SPLIT(G1859, "", "")"),44462.0)</f>
        <v>44462</v>
      </c>
      <c r="I1859" s="15">
        <f>IFERROR(__xludf.DUMMYFUNCTION("""COMPUTED_VALUE"""),0.791238425925926)</f>
        <v>0.7912384259</v>
      </c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</row>
    <row r="1860">
      <c r="A1860" s="12">
        <v>0.21</v>
      </c>
      <c r="B1860" s="12">
        <v>230.0</v>
      </c>
      <c r="C1860" s="12">
        <v>21.8</v>
      </c>
      <c r="D1860" s="12">
        <v>4.74</v>
      </c>
      <c r="E1860" s="12">
        <v>0.44</v>
      </c>
      <c r="F1860" s="12">
        <v>50.0</v>
      </c>
      <c r="G1860" s="13">
        <v>44462.79133891204</v>
      </c>
      <c r="H1860" s="14">
        <f>IFERROR(__xludf.DUMMYFUNCTION("SPLIT(G1860, "", "")"),44462.0)</f>
        <v>44462</v>
      </c>
      <c r="I1860" s="15">
        <f>IFERROR(__xludf.DUMMYFUNCTION("""COMPUTED_VALUE"""),0.7913425925925925)</f>
        <v>0.7913425926</v>
      </c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</row>
    <row r="1861">
      <c r="A1861" s="12">
        <v>0.21</v>
      </c>
      <c r="B1861" s="12">
        <v>230.0</v>
      </c>
      <c r="C1861" s="12">
        <v>21.7</v>
      </c>
      <c r="D1861" s="12">
        <v>4.74</v>
      </c>
      <c r="E1861" s="12">
        <v>0.44</v>
      </c>
      <c r="F1861" s="12">
        <v>50.0</v>
      </c>
      <c r="G1861" s="13">
        <v>44462.79144680555</v>
      </c>
      <c r="H1861" s="14">
        <f>IFERROR(__xludf.DUMMYFUNCTION("SPLIT(G1861, "", "")"),44462.0)</f>
        <v>44462</v>
      </c>
      <c r="I1861" s="15">
        <f>IFERROR(__xludf.DUMMYFUNCTION("""COMPUTED_VALUE"""),0.7914467592592592)</f>
        <v>0.7914467593</v>
      </c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</row>
    <row r="1862">
      <c r="A1862" s="12">
        <v>0.21</v>
      </c>
      <c r="B1862" s="12">
        <v>230.2</v>
      </c>
      <c r="C1862" s="12">
        <v>21.7</v>
      </c>
      <c r="D1862" s="12">
        <v>4.74</v>
      </c>
      <c r="E1862" s="12">
        <v>0.44</v>
      </c>
      <c r="F1862" s="12">
        <v>50.0</v>
      </c>
      <c r="G1862" s="13">
        <v>44462.79155289352</v>
      </c>
      <c r="H1862" s="14">
        <f>IFERROR(__xludf.DUMMYFUNCTION("SPLIT(G1862, "", "")"),44462.0)</f>
        <v>44462</v>
      </c>
      <c r="I1862" s="15">
        <f>IFERROR(__xludf.DUMMYFUNCTION("""COMPUTED_VALUE"""),0.7915509259259259)</f>
        <v>0.7915509259</v>
      </c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</row>
    <row r="1863">
      <c r="A1863" s="12">
        <v>0.21</v>
      </c>
      <c r="B1863" s="12">
        <v>230.1</v>
      </c>
      <c r="C1863" s="12">
        <v>21.6</v>
      </c>
      <c r="D1863" s="12">
        <v>4.74</v>
      </c>
      <c r="E1863" s="12">
        <v>0.44</v>
      </c>
      <c r="F1863" s="12">
        <v>50.0</v>
      </c>
      <c r="G1863" s="13">
        <v>44462.79165326389</v>
      </c>
      <c r="H1863" s="14">
        <f>IFERROR(__xludf.DUMMYFUNCTION("SPLIT(G1863, "", "")"),44462.0)</f>
        <v>44462</v>
      </c>
      <c r="I1863" s="15">
        <f>IFERROR(__xludf.DUMMYFUNCTION("""COMPUTED_VALUE"""),0.7916550925925926)</f>
        <v>0.7916550926</v>
      </c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</row>
    <row r="1864">
      <c r="A1864" s="12">
        <v>0.21</v>
      </c>
      <c r="B1864" s="12">
        <v>230.1</v>
      </c>
      <c r="C1864" s="12">
        <v>21.5</v>
      </c>
      <c r="D1864" s="12">
        <v>4.74</v>
      </c>
      <c r="E1864" s="12">
        <v>0.44</v>
      </c>
      <c r="F1864" s="12">
        <v>50.0</v>
      </c>
      <c r="G1864" s="13">
        <v>44462.79175525463</v>
      </c>
      <c r="H1864" s="14">
        <f>IFERROR(__xludf.DUMMYFUNCTION("SPLIT(G1864, "", "")"),44462.0)</f>
        <v>44462</v>
      </c>
      <c r="I1864" s="15">
        <f>IFERROR(__xludf.DUMMYFUNCTION("""COMPUTED_VALUE"""),0.7917592592592593)</f>
        <v>0.7917592593</v>
      </c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</row>
    <row r="1865">
      <c r="A1865" s="12">
        <v>0.21</v>
      </c>
      <c r="B1865" s="12">
        <v>230.2</v>
      </c>
      <c r="C1865" s="12">
        <v>21.7</v>
      </c>
      <c r="D1865" s="12">
        <v>4.74</v>
      </c>
      <c r="E1865" s="12">
        <v>0.44</v>
      </c>
      <c r="F1865" s="12">
        <v>50.0</v>
      </c>
      <c r="G1865" s="13">
        <v>44462.791858854165</v>
      </c>
      <c r="H1865" s="14">
        <f>IFERROR(__xludf.DUMMYFUNCTION("SPLIT(G1865, "", "")"),44462.0)</f>
        <v>44462</v>
      </c>
      <c r="I1865" s="15">
        <f>IFERROR(__xludf.DUMMYFUNCTION("""COMPUTED_VALUE"""),0.791863425925926)</f>
        <v>0.7918634259</v>
      </c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</row>
    <row r="1866">
      <c r="A1866" s="12">
        <v>0.21</v>
      </c>
      <c r="B1866" s="12">
        <v>230.2</v>
      </c>
      <c r="C1866" s="12">
        <v>21.8</v>
      </c>
      <c r="D1866" s="12">
        <v>4.74</v>
      </c>
      <c r="E1866" s="12">
        <v>0.44</v>
      </c>
      <c r="F1866" s="12">
        <v>50.0</v>
      </c>
      <c r="G1866" s="13">
        <v>44462.79196002315</v>
      </c>
      <c r="H1866" s="14">
        <f>IFERROR(__xludf.DUMMYFUNCTION("SPLIT(G1866, "", "")"),44462.0)</f>
        <v>44462</v>
      </c>
      <c r="I1866" s="15">
        <f>IFERROR(__xludf.DUMMYFUNCTION("""COMPUTED_VALUE"""),0.7919560185185185)</f>
        <v>0.7919560185</v>
      </c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</row>
    <row r="1867">
      <c r="A1867" s="12">
        <v>0.21</v>
      </c>
      <c r="B1867" s="12">
        <v>230.3</v>
      </c>
      <c r="C1867" s="12">
        <v>21.7</v>
      </c>
      <c r="D1867" s="12">
        <v>4.74</v>
      </c>
      <c r="E1867" s="12">
        <v>0.44</v>
      </c>
      <c r="F1867" s="12">
        <v>50.0</v>
      </c>
      <c r="G1867" s="13">
        <v>44462.79206541667</v>
      </c>
      <c r="H1867" s="14">
        <f>IFERROR(__xludf.DUMMYFUNCTION("SPLIT(G1867, "", "")"),44462.0)</f>
        <v>44462</v>
      </c>
      <c r="I1867" s="15">
        <f>IFERROR(__xludf.DUMMYFUNCTION("""COMPUTED_VALUE"""),0.7920601851851852)</f>
        <v>0.7920601852</v>
      </c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</row>
    <row r="1868">
      <c r="A1868" s="12">
        <v>0.21</v>
      </c>
      <c r="B1868" s="12">
        <v>230.2</v>
      </c>
      <c r="C1868" s="12">
        <v>21.6</v>
      </c>
      <c r="D1868" s="12">
        <v>4.74</v>
      </c>
      <c r="E1868" s="12">
        <v>0.44</v>
      </c>
      <c r="F1868" s="12">
        <v>50.0</v>
      </c>
      <c r="G1868" s="13">
        <v>44462.79217039351</v>
      </c>
      <c r="H1868" s="14">
        <f>IFERROR(__xludf.DUMMYFUNCTION("SPLIT(G1868, "", "")"),44462.0)</f>
        <v>44462</v>
      </c>
      <c r="I1868" s="15">
        <f>IFERROR(__xludf.DUMMYFUNCTION("""COMPUTED_VALUE"""),0.7921759259259259)</f>
        <v>0.7921759259</v>
      </c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</row>
    <row r="1869">
      <c r="A1869" s="12">
        <v>0.21</v>
      </c>
      <c r="B1869" s="12">
        <v>230.0</v>
      </c>
      <c r="C1869" s="12">
        <v>21.4</v>
      </c>
      <c r="D1869" s="12">
        <v>4.74</v>
      </c>
      <c r="E1869" s="12">
        <v>0.44</v>
      </c>
      <c r="F1869" s="12">
        <v>50.0</v>
      </c>
      <c r="G1869" s="13">
        <v>44462.79227414352</v>
      </c>
      <c r="H1869" s="14">
        <f>IFERROR(__xludf.DUMMYFUNCTION("SPLIT(G1869, "", "")"),44462.0)</f>
        <v>44462</v>
      </c>
      <c r="I1869" s="15">
        <f>IFERROR(__xludf.DUMMYFUNCTION("""COMPUTED_VALUE"""),0.7922685185185185)</f>
        <v>0.7922685185</v>
      </c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</row>
    <row r="1870">
      <c r="A1870" s="12">
        <v>0.21</v>
      </c>
      <c r="B1870" s="12">
        <v>229.9</v>
      </c>
      <c r="C1870" s="12">
        <v>21.3</v>
      </c>
      <c r="D1870" s="12">
        <v>4.74</v>
      </c>
      <c r="E1870" s="12">
        <v>0.44</v>
      </c>
      <c r="F1870" s="12">
        <v>50.0</v>
      </c>
      <c r="G1870" s="13">
        <v>44462.79237545139</v>
      </c>
      <c r="H1870" s="14">
        <f>IFERROR(__xludf.DUMMYFUNCTION("SPLIT(G1870, "", "")"),44462.0)</f>
        <v>44462</v>
      </c>
      <c r="I1870" s="15">
        <f>IFERROR(__xludf.DUMMYFUNCTION("""COMPUTED_VALUE"""),0.7923726851851852)</f>
        <v>0.7923726852</v>
      </c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</row>
    <row r="1871">
      <c r="A1871" s="12">
        <v>0.21</v>
      </c>
      <c r="B1871" s="12">
        <v>230.0</v>
      </c>
      <c r="C1871" s="12">
        <v>21.4</v>
      </c>
      <c r="D1871" s="12">
        <v>4.74</v>
      </c>
      <c r="E1871" s="12">
        <v>0.44</v>
      </c>
      <c r="F1871" s="12">
        <v>50.0</v>
      </c>
      <c r="G1871" s="13">
        <v>44462.79247939815</v>
      </c>
      <c r="H1871" s="14">
        <f>IFERROR(__xludf.DUMMYFUNCTION("SPLIT(G1871, "", "")"),44462.0)</f>
        <v>44462</v>
      </c>
      <c r="I1871" s="15">
        <f>IFERROR(__xludf.DUMMYFUNCTION("""COMPUTED_VALUE"""),0.7924768518518519)</f>
        <v>0.7924768519</v>
      </c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</row>
    <row r="1872">
      <c r="A1872" s="12">
        <v>0.21</v>
      </c>
      <c r="B1872" s="12">
        <v>229.8</v>
      </c>
      <c r="C1872" s="12">
        <v>20.9</v>
      </c>
      <c r="D1872" s="12">
        <v>4.74</v>
      </c>
      <c r="E1872" s="12">
        <v>0.44</v>
      </c>
      <c r="F1872" s="12">
        <v>49.9</v>
      </c>
      <c r="G1872" s="13">
        <v>44462.792587662036</v>
      </c>
      <c r="H1872" s="14">
        <f>IFERROR(__xludf.DUMMYFUNCTION("SPLIT(G1872, "", "")"),44462.0)</f>
        <v>44462</v>
      </c>
      <c r="I1872" s="15">
        <f>IFERROR(__xludf.DUMMYFUNCTION("""COMPUTED_VALUE"""),0.7925925925925926)</f>
        <v>0.7925925926</v>
      </c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</row>
    <row r="1873">
      <c r="A1873" s="12">
        <v>0.21</v>
      </c>
      <c r="B1873" s="12">
        <v>229.8</v>
      </c>
      <c r="C1873" s="12">
        <v>21.2</v>
      </c>
      <c r="D1873" s="12">
        <v>4.74</v>
      </c>
      <c r="E1873" s="12">
        <v>0.44</v>
      </c>
      <c r="F1873" s="12">
        <v>50.0</v>
      </c>
      <c r="G1873" s="13">
        <v>44462.792693888885</v>
      </c>
      <c r="H1873" s="14">
        <f>IFERROR(__xludf.DUMMYFUNCTION("SPLIT(G1873, "", "")"),44462.0)</f>
        <v>44462</v>
      </c>
      <c r="I1873" s="15">
        <f>IFERROR(__xludf.DUMMYFUNCTION("""COMPUTED_VALUE"""),0.7926967592592593)</f>
        <v>0.7926967593</v>
      </c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</row>
    <row r="1874">
      <c r="A1874" s="12">
        <v>0.21</v>
      </c>
      <c r="B1874" s="12">
        <v>229.8</v>
      </c>
      <c r="C1874" s="12">
        <v>21.1</v>
      </c>
      <c r="D1874" s="12">
        <v>4.74</v>
      </c>
      <c r="E1874" s="12">
        <v>0.44</v>
      </c>
      <c r="F1874" s="12">
        <v>49.9</v>
      </c>
      <c r="G1874" s="13">
        <v>44462.792794918976</v>
      </c>
      <c r="H1874" s="14">
        <f>IFERROR(__xludf.DUMMYFUNCTION("SPLIT(G1874, "", "")"),44462.0)</f>
        <v>44462</v>
      </c>
      <c r="I1874" s="15">
        <f>IFERROR(__xludf.DUMMYFUNCTION("""COMPUTED_VALUE"""),0.7927893518518518)</f>
        <v>0.7927893519</v>
      </c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</row>
    <row r="1875">
      <c r="A1875" s="12">
        <v>0.21</v>
      </c>
      <c r="B1875" s="12">
        <v>229.8</v>
      </c>
      <c r="C1875" s="12">
        <v>21.1</v>
      </c>
      <c r="D1875" s="12">
        <v>4.74</v>
      </c>
      <c r="E1875" s="12">
        <v>0.43</v>
      </c>
      <c r="F1875" s="12">
        <v>49.9</v>
      </c>
      <c r="G1875" s="13">
        <v>44462.79289574074</v>
      </c>
      <c r="H1875" s="14">
        <f>IFERROR(__xludf.DUMMYFUNCTION("SPLIT(G1875, "", "")"),44462.0)</f>
        <v>44462</v>
      </c>
      <c r="I1875" s="15">
        <f>IFERROR(__xludf.DUMMYFUNCTION("""COMPUTED_VALUE"""),0.7928935185185185)</f>
        <v>0.7928935185</v>
      </c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</row>
    <row r="1876">
      <c r="A1876" s="12">
        <v>0.21</v>
      </c>
      <c r="B1876" s="12">
        <v>229.8</v>
      </c>
      <c r="C1876" s="12">
        <v>20.9</v>
      </c>
      <c r="D1876" s="12">
        <v>4.74</v>
      </c>
      <c r="E1876" s="12">
        <v>0.44</v>
      </c>
      <c r="F1876" s="12">
        <v>49.9</v>
      </c>
      <c r="G1876" s="13">
        <v>44462.792996516204</v>
      </c>
      <c r="H1876" s="14">
        <f>IFERROR(__xludf.DUMMYFUNCTION("SPLIT(G1876, "", "")"),44462.0)</f>
        <v>44462</v>
      </c>
      <c r="I1876" s="15">
        <f>IFERROR(__xludf.DUMMYFUNCTION("""COMPUTED_VALUE"""),0.7929976851851852)</f>
        <v>0.7929976852</v>
      </c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</row>
    <row r="1877">
      <c r="A1877" s="12">
        <v>0.21</v>
      </c>
      <c r="B1877" s="12">
        <v>229.8</v>
      </c>
      <c r="C1877" s="12">
        <v>20.9</v>
      </c>
      <c r="D1877" s="12">
        <v>4.74</v>
      </c>
      <c r="E1877" s="12">
        <v>0.44</v>
      </c>
      <c r="F1877" s="12">
        <v>49.9</v>
      </c>
      <c r="G1877" s="13">
        <v>44462.793095138884</v>
      </c>
      <c r="H1877" s="14">
        <f>IFERROR(__xludf.DUMMYFUNCTION("SPLIT(G1877, "", "")"),44462.0)</f>
        <v>44462</v>
      </c>
      <c r="I1877" s="15">
        <f>IFERROR(__xludf.DUMMYFUNCTION("""COMPUTED_VALUE"""),0.7930902777777777)</f>
        <v>0.7930902778</v>
      </c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</row>
    <row r="1878">
      <c r="A1878" s="12">
        <v>0.2</v>
      </c>
      <c r="B1878" s="12">
        <v>229.5</v>
      </c>
      <c r="C1878" s="12">
        <v>20.4</v>
      </c>
      <c r="D1878" s="12">
        <v>4.74</v>
      </c>
      <c r="E1878" s="12">
        <v>0.43</v>
      </c>
      <c r="F1878" s="12">
        <v>49.9</v>
      </c>
      <c r="G1878" s="13">
        <v>44462.793196631945</v>
      </c>
      <c r="H1878" s="14">
        <f>IFERROR(__xludf.DUMMYFUNCTION("SPLIT(G1878, "", "")"),44462.0)</f>
        <v>44462</v>
      </c>
      <c r="I1878" s="15">
        <f>IFERROR(__xludf.DUMMYFUNCTION("""COMPUTED_VALUE"""),0.7931944444444444)</f>
        <v>0.7931944444</v>
      </c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</row>
    <row r="1879">
      <c r="A1879" s="12">
        <v>0.2</v>
      </c>
      <c r="B1879" s="12">
        <v>229.5</v>
      </c>
      <c r="C1879" s="12">
        <v>20.3</v>
      </c>
      <c r="D1879" s="12">
        <v>4.74</v>
      </c>
      <c r="E1879" s="12">
        <v>0.43</v>
      </c>
      <c r="F1879" s="12">
        <v>49.9</v>
      </c>
      <c r="G1879" s="13">
        <v>44462.79330318287</v>
      </c>
      <c r="H1879" s="14">
        <f>IFERROR(__xludf.DUMMYFUNCTION("SPLIT(G1879, "", "")"),44462.0)</f>
        <v>44462</v>
      </c>
      <c r="I1879" s="15">
        <f>IFERROR(__xludf.DUMMYFUNCTION("""COMPUTED_VALUE"""),0.7932986111111111)</f>
        <v>0.7932986111</v>
      </c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</row>
    <row r="1880">
      <c r="A1880" s="12">
        <v>0.21</v>
      </c>
      <c r="B1880" s="12">
        <v>229.6</v>
      </c>
      <c r="C1880" s="12">
        <v>20.3</v>
      </c>
      <c r="D1880" s="12">
        <v>4.74</v>
      </c>
      <c r="E1880" s="12">
        <v>0.43</v>
      </c>
      <c r="F1880" s="12">
        <v>50.0</v>
      </c>
      <c r="G1880" s="13">
        <v>44462.793413148145</v>
      </c>
      <c r="H1880" s="14">
        <f>IFERROR(__xludf.DUMMYFUNCTION("SPLIT(G1880, "", "")"),44462.0)</f>
        <v>44462</v>
      </c>
      <c r="I1880" s="15">
        <f>IFERROR(__xludf.DUMMYFUNCTION("""COMPUTED_VALUE"""),0.7934143518518518)</f>
        <v>0.7934143519</v>
      </c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</row>
    <row r="1881">
      <c r="A1881" s="12">
        <v>0.2</v>
      </c>
      <c r="B1881" s="12">
        <v>229.6</v>
      </c>
      <c r="C1881" s="12">
        <v>20.3</v>
      </c>
      <c r="D1881" s="12">
        <v>4.74</v>
      </c>
      <c r="E1881" s="12">
        <v>0.43</v>
      </c>
      <c r="F1881" s="12">
        <v>50.0</v>
      </c>
      <c r="G1881" s="13">
        <v>44462.79352107639</v>
      </c>
      <c r="H1881" s="14">
        <f>IFERROR(__xludf.DUMMYFUNCTION("SPLIT(G1881, "", "")"),44462.0)</f>
        <v>44462</v>
      </c>
      <c r="I1881" s="15">
        <f>IFERROR(__xludf.DUMMYFUNCTION("""COMPUTED_VALUE"""),0.7935185185185185)</f>
        <v>0.7935185185</v>
      </c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</row>
    <row r="1882">
      <c r="A1882" s="12">
        <v>0.2</v>
      </c>
      <c r="B1882" s="12">
        <v>229.5</v>
      </c>
      <c r="C1882" s="12">
        <v>20.1</v>
      </c>
      <c r="D1882" s="12">
        <v>4.74</v>
      </c>
      <c r="E1882" s="12">
        <v>0.43</v>
      </c>
      <c r="F1882" s="12">
        <v>50.0</v>
      </c>
      <c r="G1882" s="13">
        <v>44462.79362840278</v>
      </c>
      <c r="H1882" s="14">
        <f>IFERROR(__xludf.DUMMYFUNCTION("SPLIT(G1882, "", "")"),44462.0)</f>
        <v>44462</v>
      </c>
      <c r="I1882" s="15">
        <f>IFERROR(__xludf.DUMMYFUNCTION("""COMPUTED_VALUE"""),0.7936226851851852)</f>
        <v>0.7936226852</v>
      </c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</row>
    <row r="1883">
      <c r="A1883" s="12">
        <v>0.21</v>
      </c>
      <c r="B1883" s="12">
        <v>229.6</v>
      </c>
      <c r="C1883" s="12">
        <v>20.4</v>
      </c>
      <c r="D1883" s="12">
        <v>4.74</v>
      </c>
      <c r="E1883" s="12">
        <v>0.43</v>
      </c>
      <c r="F1883" s="12">
        <v>50.0</v>
      </c>
      <c r="G1883" s="13">
        <v>44462.793733611106</v>
      </c>
      <c r="H1883" s="14">
        <f>IFERROR(__xludf.DUMMYFUNCTION("SPLIT(G1883, "", "")"),44462.0)</f>
        <v>44462</v>
      </c>
      <c r="I1883" s="15">
        <f>IFERROR(__xludf.DUMMYFUNCTION("""COMPUTED_VALUE"""),0.7937384259259259)</f>
        <v>0.7937384259</v>
      </c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</row>
    <row r="1884">
      <c r="A1884" s="12">
        <v>0.2</v>
      </c>
      <c r="B1884" s="12">
        <v>229.6</v>
      </c>
      <c r="C1884" s="12">
        <v>20.2</v>
      </c>
      <c r="D1884" s="12">
        <v>4.74</v>
      </c>
      <c r="E1884" s="12">
        <v>0.43</v>
      </c>
      <c r="F1884" s="12">
        <v>50.0</v>
      </c>
      <c r="G1884" s="13">
        <v>44462.79383375</v>
      </c>
      <c r="H1884" s="14">
        <f>IFERROR(__xludf.DUMMYFUNCTION("SPLIT(G1884, "", "")"),44462.0)</f>
        <v>44462</v>
      </c>
      <c r="I1884" s="15">
        <f>IFERROR(__xludf.DUMMYFUNCTION("""COMPUTED_VALUE"""),0.7938310185185186)</f>
        <v>0.7938310185</v>
      </c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</row>
    <row r="1885">
      <c r="A1885" s="12">
        <v>0.2</v>
      </c>
      <c r="B1885" s="12">
        <v>229.6</v>
      </c>
      <c r="C1885" s="12">
        <v>20.3</v>
      </c>
      <c r="D1885" s="12">
        <v>4.74</v>
      </c>
      <c r="E1885" s="12">
        <v>0.43</v>
      </c>
      <c r="F1885" s="12">
        <v>50.0</v>
      </c>
      <c r="G1885" s="13">
        <v>44462.793934421294</v>
      </c>
      <c r="H1885" s="14">
        <f>IFERROR(__xludf.DUMMYFUNCTION("SPLIT(G1885, "", "")"),44462.0)</f>
        <v>44462</v>
      </c>
      <c r="I1885" s="15">
        <f>IFERROR(__xludf.DUMMYFUNCTION("""COMPUTED_VALUE"""),0.7939351851851851)</f>
        <v>0.7939351852</v>
      </c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</row>
    <row r="1886">
      <c r="A1886" s="12">
        <v>0.2</v>
      </c>
      <c r="B1886" s="12">
        <v>229.5</v>
      </c>
      <c r="C1886" s="12">
        <v>20.2</v>
      </c>
      <c r="D1886" s="12">
        <v>4.74</v>
      </c>
      <c r="E1886" s="12">
        <v>0.43</v>
      </c>
      <c r="F1886" s="12">
        <v>50.0</v>
      </c>
      <c r="G1886" s="13">
        <v>44462.794036493055</v>
      </c>
      <c r="H1886" s="14">
        <f>IFERROR(__xludf.DUMMYFUNCTION("SPLIT(G1886, "", "")"),44462.0)</f>
        <v>44462</v>
      </c>
      <c r="I1886" s="15">
        <f>IFERROR(__xludf.DUMMYFUNCTION("""COMPUTED_VALUE"""),0.7940393518518518)</f>
        <v>0.7940393519</v>
      </c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</row>
    <row r="1887">
      <c r="A1887" s="12">
        <v>0.2</v>
      </c>
      <c r="B1887" s="12">
        <v>229.5</v>
      </c>
      <c r="C1887" s="12">
        <v>20.0</v>
      </c>
      <c r="D1887" s="12">
        <v>4.74</v>
      </c>
      <c r="E1887" s="12">
        <v>0.43</v>
      </c>
      <c r="F1887" s="12">
        <v>50.0</v>
      </c>
      <c r="G1887" s="13">
        <v>44462.794139895836</v>
      </c>
      <c r="H1887" s="14">
        <f>IFERROR(__xludf.DUMMYFUNCTION("SPLIT(G1887, "", "")"),44462.0)</f>
        <v>44462</v>
      </c>
      <c r="I1887" s="15">
        <f>IFERROR(__xludf.DUMMYFUNCTION("""COMPUTED_VALUE"""),0.7941435185185185)</f>
        <v>0.7941435185</v>
      </c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</row>
    <row r="1888">
      <c r="A1888" s="12">
        <v>0.2</v>
      </c>
      <c r="B1888" s="12">
        <v>229.6</v>
      </c>
      <c r="C1888" s="12">
        <v>20.2</v>
      </c>
      <c r="D1888" s="12">
        <v>4.74</v>
      </c>
      <c r="E1888" s="12">
        <v>0.43</v>
      </c>
      <c r="F1888" s="12">
        <v>50.0</v>
      </c>
      <c r="G1888" s="13">
        <v>44462.79430284722</v>
      </c>
      <c r="H1888" s="14">
        <f>IFERROR(__xludf.DUMMYFUNCTION("SPLIT(G1888, "", "")"),44462.0)</f>
        <v>44462</v>
      </c>
      <c r="I1888" s="15">
        <f>IFERROR(__xludf.DUMMYFUNCTION("""COMPUTED_VALUE"""),0.7943055555555556)</f>
        <v>0.7943055556</v>
      </c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</row>
    <row r="1889">
      <c r="A1889" s="12">
        <v>0.2</v>
      </c>
      <c r="B1889" s="12">
        <v>229.6</v>
      </c>
      <c r="C1889" s="12">
        <v>20.1</v>
      </c>
      <c r="D1889" s="12">
        <v>4.74</v>
      </c>
      <c r="E1889" s="12">
        <v>0.43</v>
      </c>
      <c r="F1889" s="12">
        <v>50.0</v>
      </c>
      <c r="G1889" s="13">
        <v>44462.79440407407</v>
      </c>
      <c r="H1889" s="14">
        <f>IFERROR(__xludf.DUMMYFUNCTION("SPLIT(G1889, "", "")"),44462.0)</f>
        <v>44462</v>
      </c>
      <c r="I1889" s="15">
        <f>IFERROR(__xludf.DUMMYFUNCTION("""COMPUTED_VALUE"""),0.7944097222222222)</f>
        <v>0.7944097222</v>
      </c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</row>
    <row r="1890">
      <c r="A1890" s="12">
        <v>0.2</v>
      </c>
      <c r="B1890" s="12">
        <v>229.6</v>
      </c>
      <c r="C1890" s="12">
        <v>20.0</v>
      </c>
      <c r="D1890" s="12">
        <v>4.74</v>
      </c>
      <c r="E1890" s="12">
        <v>0.43</v>
      </c>
      <c r="F1890" s="12">
        <v>50.0</v>
      </c>
      <c r="G1890" s="13">
        <v>44462.79450554398</v>
      </c>
      <c r="H1890" s="14">
        <f>IFERROR(__xludf.DUMMYFUNCTION("SPLIT(G1890, "", "")"),44462.0)</f>
        <v>44462</v>
      </c>
      <c r="I1890" s="15">
        <f>IFERROR(__xludf.DUMMYFUNCTION("""COMPUTED_VALUE"""),0.7945023148148148)</f>
        <v>0.7945023148</v>
      </c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</row>
    <row r="1891">
      <c r="A1891" s="12">
        <v>0.2</v>
      </c>
      <c r="B1891" s="12">
        <v>229.6</v>
      </c>
      <c r="C1891" s="12">
        <v>19.9</v>
      </c>
      <c r="D1891" s="12">
        <v>4.74</v>
      </c>
      <c r="E1891" s="12">
        <v>0.43</v>
      </c>
      <c r="F1891" s="12">
        <v>49.9</v>
      </c>
      <c r="G1891" s="13">
        <v>44462.794607523145</v>
      </c>
      <c r="H1891" s="14">
        <f>IFERROR(__xludf.DUMMYFUNCTION("SPLIT(G1891, "", "")"),44462.0)</f>
        <v>44462</v>
      </c>
      <c r="I1891" s="15">
        <f>IFERROR(__xludf.DUMMYFUNCTION("""COMPUTED_VALUE"""),0.7946064814814815)</f>
        <v>0.7946064815</v>
      </c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</row>
    <row r="1892">
      <c r="A1892" s="12">
        <v>0.2</v>
      </c>
      <c r="B1892" s="12">
        <v>229.6</v>
      </c>
      <c r="C1892" s="12">
        <v>20.0</v>
      </c>
      <c r="D1892" s="12">
        <v>4.74</v>
      </c>
      <c r="E1892" s="12">
        <v>0.43</v>
      </c>
      <c r="F1892" s="12">
        <v>50.0</v>
      </c>
      <c r="G1892" s="13">
        <v>44462.794710648144</v>
      </c>
      <c r="H1892" s="14">
        <f>IFERROR(__xludf.DUMMYFUNCTION("SPLIT(G1892, "", "")"),44462.0)</f>
        <v>44462</v>
      </c>
      <c r="I1892" s="15">
        <f>IFERROR(__xludf.DUMMYFUNCTION("""COMPUTED_VALUE"""),0.7947106481481482)</f>
        <v>0.7947106481</v>
      </c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</row>
    <row r="1893">
      <c r="A1893" s="12">
        <v>0.2</v>
      </c>
      <c r="B1893" s="12">
        <v>229.5</v>
      </c>
      <c r="C1893" s="12">
        <v>19.7</v>
      </c>
      <c r="D1893" s="12">
        <v>4.74</v>
      </c>
      <c r="E1893" s="12">
        <v>0.43</v>
      </c>
      <c r="F1893" s="12">
        <v>49.9</v>
      </c>
      <c r="G1893" s="13">
        <v>44462.794816180554</v>
      </c>
      <c r="H1893" s="14">
        <f>IFERROR(__xludf.DUMMYFUNCTION("SPLIT(G1893, "", "")"),44462.0)</f>
        <v>44462</v>
      </c>
      <c r="I1893" s="15">
        <f>IFERROR(__xludf.DUMMYFUNCTION("""COMPUTED_VALUE"""),0.7948148148148149)</f>
        <v>0.7948148148</v>
      </c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</row>
    <row r="1894">
      <c r="A1894" s="12">
        <v>0.2</v>
      </c>
      <c r="B1894" s="12">
        <v>229.5</v>
      </c>
      <c r="C1894" s="12">
        <v>19.7</v>
      </c>
      <c r="D1894" s="12">
        <v>4.74</v>
      </c>
      <c r="E1894" s="12">
        <v>0.43</v>
      </c>
      <c r="F1894" s="12">
        <v>49.9</v>
      </c>
      <c r="G1894" s="13">
        <v>44462.7949205787</v>
      </c>
      <c r="H1894" s="14">
        <f>IFERROR(__xludf.DUMMYFUNCTION("SPLIT(G1894, "", "")"),44462.0)</f>
        <v>44462</v>
      </c>
      <c r="I1894" s="15">
        <f>IFERROR(__xludf.DUMMYFUNCTION("""COMPUTED_VALUE"""),0.7949189814814814)</f>
        <v>0.7949189815</v>
      </c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</row>
    <row r="1895">
      <c r="A1895" s="12">
        <v>0.2</v>
      </c>
      <c r="B1895" s="12">
        <v>229.6</v>
      </c>
      <c r="C1895" s="12">
        <v>19.6</v>
      </c>
      <c r="D1895" s="12">
        <v>4.74</v>
      </c>
      <c r="E1895" s="12">
        <v>0.43</v>
      </c>
      <c r="F1895" s="12">
        <v>50.0</v>
      </c>
      <c r="G1895" s="13">
        <v>44462.79502586805</v>
      </c>
      <c r="H1895" s="14">
        <f>IFERROR(__xludf.DUMMYFUNCTION("SPLIT(G1895, "", "")"),44462.0)</f>
        <v>44462</v>
      </c>
      <c r="I1895" s="15">
        <f>IFERROR(__xludf.DUMMYFUNCTION("""COMPUTED_VALUE"""),0.7950231481481481)</f>
        <v>0.7950231481</v>
      </c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</row>
    <row r="1896">
      <c r="A1896" s="12">
        <v>0.2</v>
      </c>
      <c r="B1896" s="12">
        <v>229.5</v>
      </c>
      <c r="C1896" s="12">
        <v>19.5</v>
      </c>
      <c r="D1896" s="12">
        <v>4.74</v>
      </c>
      <c r="E1896" s="12">
        <v>0.43</v>
      </c>
      <c r="F1896" s="12">
        <v>50.0</v>
      </c>
      <c r="G1896" s="13">
        <v>44462.795125902776</v>
      </c>
      <c r="H1896" s="14">
        <f>IFERROR(__xludf.DUMMYFUNCTION("SPLIT(G1896, "", "")"),44462.0)</f>
        <v>44462</v>
      </c>
      <c r="I1896" s="15">
        <f>IFERROR(__xludf.DUMMYFUNCTION("""COMPUTED_VALUE"""),0.7951273148148148)</f>
        <v>0.7951273148</v>
      </c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</row>
    <row r="1897">
      <c r="A1897" s="12">
        <v>0.2</v>
      </c>
      <c r="B1897" s="12">
        <v>229.5</v>
      </c>
      <c r="C1897" s="12">
        <v>19.5</v>
      </c>
      <c r="D1897" s="12">
        <v>4.74</v>
      </c>
      <c r="E1897" s="12">
        <v>0.43</v>
      </c>
      <c r="F1897" s="12">
        <v>50.0</v>
      </c>
      <c r="G1897" s="13">
        <v>44462.79522648148</v>
      </c>
      <c r="H1897" s="14">
        <f>IFERROR(__xludf.DUMMYFUNCTION("SPLIT(G1897, "", "")"),44462.0)</f>
        <v>44462</v>
      </c>
      <c r="I1897" s="15">
        <f>IFERROR(__xludf.DUMMYFUNCTION("""COMPUTED_VALUE"""),0.7952314814814815)</f>
        <v>0.7952314815</v>
      </c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</row>
    <row r="1898">
      <c r="A1898" s="12">
        <v>0.2</v>
      </c>
      <c r="B1898" s="12">
        <v>229.9</v>
      </c>
      <c r="C1898" s="12">
        <v>19.6</v>
      </c>
      <c r="D1898" s="12">
        <v>4.74</v>
      </c>
      <c r="E1898" s="12">
        <v>0.43</v>
      </c>
      <c r="F1898" s="12">
        <v>49.9</v>
      </c>
      <c r="G1898" s="13">
        <v>44462.795328761575</v>
      </c>
      <c r="H1898" s="14">
        <f>IFERROR(__xludf.DUMMYFUNCTION("SPLIT(G1898, "", "")"),44462.0)</f>
        <v>44462</v>
      </c>
      <c r="I1898" s="15">
        <f>IFERROR(__xludf.DUMMYFUNCTION("""COMPUTED_VALUE"""),0.7953240740740741)</f>
        <v>0.7953240741</v>
      </c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</row>
    <row r="1899">
      <c r="A1899" s="12">
        <v>0.2</v>
      </c>
      <c r="B1899" s="12">
        <v>229.9</v>
      </c>
      <c r="C1899" s="12">
        <v>19.5</v>
      </c>
      <c r="D1899" s="12">
        <v>4.74</v>
      </c>
      <c r="E1899" s="12">
        <v>0.43</v>
      </c>
      <c r="F1899" s="12">
        <v>50.0</v>
      </c>
      <c r="G1899" s="13">
        <v>44462.79542834491</v>
      </c>
      <c r="H1899" s="14">
        <f>IFERROR(__xludf.DUMMYFUNCTION("SPLIT(G1899, "", "")"),44462.0)</f>
        <v>44462</v>
      </c>
      <c r="I1899" s="15">
        <f>IFERROR(__xludf.DUMMYFUNCTION("""COMPUTED_VALUE"""),0.7954282407407407)</f>
        <v>0.7954282407</v>
      </c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</row>
    <row r="1900">
      <c r="A1900" s="12">
        <v>0.2</v>
      </c>
      <c r="B1900" s="12">
        <v>229.9</v>
      </c>
      <c r="C1900" s="12">
        <v>19.4</v>
      </c>
      <c r="D1900" s="12">
        <v>4.74</v>
      </c>
      <c r="E1900" s="12">
        <v>0.43</v>
      </c>
      <c r="F1900" s="12">
        <v>49.9</v>
      </c>
      <c r="G1900" s="13">
        <v>44462.79552905093</v>
      </c>
      <c r="H1900" s="14">
        <f>IFERROR(__xludf.DUMMYFUNCTION("SPLIT(G1900, "", "")"),44462.0)</f>
        <v>44462</v>
      </c>
      <c r="I1900" s="15">
        <f>IFERROR(__xludf.DUMMYFUNCTION("""COMPUTED_VALUE"""),0.7955324074074074)</f>
        <v>0.7955324074</v>
      </c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</row>
    <row r="1901">
      <c r="A1901" s="12">
        <v>0.19</v>
      </c>
      <c r="B1901" s="12">
        <v>229.9</v>
      </c>
      <c r="C1901" s="12">
        <v>19.3</v>
      </c>
      <c r="D1901" s="12">
        <v>4.74</v>
      </c>
      <c r="E1901" s="12">
        <v>0.43</v>
      </c>
      <c r="F1901" s="12">
        <v>50.0</v>
      </c>
      <c r="G1901" s="13">
        <v>44462.79563206018</v>
      </c>
      <c r="H1901" s="14">
        <f>IFERROR(__xludf.DUMMYFUNCTION("SPLIT(G1901, "", "")"),44462.0)</f>
        <v>44462</v>
      </c>
      <c r="I1901" s="15">
        <f>IFERROR(__xludf.DUMMYFUNCTION("""COMPUTED_VALUE"""),0.7956365740740741)</f>
        <v>0.7956365741</v>
      </c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</row>
    <row r="1902">
      <c r="A1902" s="12">
        <v>0.2</v>
      </c>
      <c r="B1902" s="12">
        <v>229.8</v>
      </c>
      <c r="C1902" s="12">
        <v>19.4</v>
      </c>
      <c r="D1902" s="12">
        <v>4.74</v>
      </c>
      <c r="E1902" s="12">
        <v>0.43</v>
      </c>
      <c r="F1902" s="12">
        <v>50.0</v>
      </c>
      <c r="G1902" s="13">
        <v>44462.79573549768</v>
      </c>
      <c r="H1902" s="14">
        <f>IFERROR(__xludf.DUMMYFUNCTION("SPLIT(G1902, "", "")"),44462.0)</f>
        <v>44462</v>
      </c>
      <c r="I1902" s="15">
        <f>IFERROR(__xludf.DUMMYFUNCTION("""COMPUTED_VALUE"""),0.7957407407407407)</f>
        <v>0.7957407407</v>
      </c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</row>
    <row r="1903">
      <c r="A1903" s="12">
        <v>0.2</v>
      </c>
      <c r="B1903" s="12">
        <v>229.8</v>
      </c>
      <c r="C1903" s="12">
        <v>19.3</v>
      </c>
      <c r="D1903" s="12">
        <v>4.74</v>
      </c>
      <c r="E1903" s="12">
        <v>0.43</v>
      </c>
      <c r="F1903" s="12">
        <v>50.0</v>
      </c>
      <c r="G1903" s="13">
        <v>44462.795841238425</v>
      </c>
      <c r="H1903" s="14">
        <f>IFERROR(__xludf.DUMMYFUNCTION("SPLIT(G1903, "", "")"),44462.0)</f>
        <v>44462</v>
      </c>
      <c r="I1903" s="15">
        <f>IFERROR(__xludf.DUMMYFUNCTION("""COMPUTED_VALUE"""),0.7958449074074074)</f>
        <v>0.7958449074</v>
      </c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</row>
    <row r="1904">
      <c r="A1904" s="12">
        <v>0.2</v>
      </c>
      <c r="B1904" s="12">
        <v>229.8</v>
      </c>
      <c r="C1904" s="12">
        <v>19.5</v>
      </c>
      <c r="D1904" s="12">
        <v>4.74</v>
      </c>
      <c r="E1904" s="12">
        <v>0.43</v>
      </c>
      <c r="F1904" s="12">
        <v>49.9</v>
      </c>
      <c r="G1904" s="13">
        <v>44462.79593854166</v>
      </c>
      <c r="H1904" s="14">
        <f>IFERROR(__xludf.DUMMYFUNCTION("SPLIT(G1904, "", "")"),44462.0)</f>
        <v>44462</v>
      </c>
      <c r="I1904" s="15">
        <f>IFERROR(__xludf.DUMMYFUNCTION("""COMPUTED_VALUE"""),0.7959375)</f>
        <v>0.7959375</v>
      </c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</row>
    <row r="1905">
      <c r="A1905" s="12">
        <v>0.2</v>
      </c>
      <c r="B1905" s="12">
        <v>229.8</v>
      </c>
      <c r="C1905" s="12">
        <v>19.6</v>
      </c>
      <c r="D1905" s="12">
        <v>4.74</v>
      </c>
      <c r="E1905" s="12">
        <v>0.43</v>
      </c>
      <c r="F1905" s="12">
        <v>50.0</v>
      </c>
      <c r="G1905" s="13">
        <v>44462.79603946759</v>
      </c>
      <c r="H1905" s="14">
        <f>IFERROR(__xludf.DUMMYFUNCTION("SPLIT(G1905, "", "")"),44462.0)</f>
        <v>44462</v>
      </c>
      <c r="I1905" s="15">
        <f>IFERROR(__xludf.DUMMYFUNCTION("""COMPUTED_VALUE"""),0.7960416666666666)</f>
        <v>0.7960416667</v>
      </c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</row>
    <row r="1906">
      <c r="A1906" s="12">
        <v>0.2</v>
      </c>
      <c r="B1906" s="12">
        <v>229.8</v>
      </c>
      <c r="C1906" s="12">
        <v>19.5</v>
      </c>
      <c r="D1906" s="12">
        <v>4.74</v>
      </c>
      <c r="E1906" s="12">
        <v>0.43</v>
      </c>
      <c r="F1906" s="12">
        <v>50.0</v>
      </c>
      <c r="G1906" s="13">
        <v>44462.79614228009</v>
      </c>
      <c r="H1906" s="14">
        <f>IFERROR(__xludf.DUMMYFUNCTION("SPLIT(G1906, "", "")"),44462.0)</f>
        <v>44462</v>
      </c>
      <c r="I1906" s="15">
        <f>IFERROR(__xludf.DUMMYFUNCTION("""COMPUTED_VALUE"""),0.7961458333333333)</f>
        <v>0.7961458333</v>
      </c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</row>
    <row r="1907">
      <c r="A1907" s="12">
        <v>0.19</v>
      </c>
      <c r="B1907" s="12">
        <v>229.8</v>
      </c>
      <c r="C1907" s="12">
        <v>19.3</v>
      </c>
      <c r="D1907" s="12">
        <v>4.74</v>
      </c>
      <c r="E1907" s="12">
        <v>0.43</v>
      </c>
      <c r="F1907" s="12">
        <v>49.9</v>
      </c>
      <c r="G1907" s="13">
        <v>44462.79624412037</v>
      </c>
      <c r="H1907" s="14">
        <f>IFERROR(__xludf.DUMMYFUNCTION("SPLIT(G1907, "", "")"),44462.0)</f>
        <v>44462</v>
      </c>
      <c r="I1907" s="15">
        <f>IFERROR(__xludf.DUMMYFUNCTION("""COMPUTED_VALUE"""),0.796238425925926)</f>
        <v>0.7962384259</v>
      </c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</row>
    <row r="1908">
      <c r="A1908" s="12">
        <v>0.2</v>
      </c>
      <c r="B1908" s="12">
        <v>229.9</v>
      </c>
      <c r="C1908" s="12">
        <v>19.5</v>
      </c>
      <c r="D1908" s="12">
        <v>4.74</v>
      </c>
      <c r="E1908" s="12">
        <v>0.43</v>
      </c>
      <c r="F1908" s="12">
        <v>50.0</v>
      </c>
      <c r="G1908" s="13">
        <v>44462.796350625</v>
      </c>
      <c r="H1908" s="14">
        <f>IFERROR(__xludf.DUMMYFUNCTION("SPLIT(G1908, "", "")"),44462.0)</f>
        <v>44462</v>
      </c>
      <c r="I1908" s="15">
        <f>IFERROR(__xludf.DUMMYFUNCTION("""COMPUTED_VALUE"""),0.7963541666666667)</f>
        <v>0.7963541667</v>
      </c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</row>
    <row r="1909">
      <c r="A1909" s="12">
        <v>0.2</v>
      </c>
      <c r="B1909" s="12">
        <v>229.8</v>
      </c>
      <c r="C1909" s="12">
        <v>19.3</v>
      </c>
      <c r="D1909" s="12">
        <v>4.74</v>
      </c>
      <c r="E1909" s="12">
        <v>0.43</v>
      </c>
      <c r="F1909" s="12">
        <v>49.9</v>
      </c>
      <c r="G1909" s="13">
        <v>44462.796452511575</v>
      </c>
      <c r="H1909" s="14">
        <f>IFERROR(__xludf.DUMMYFUNCTION("SPLIT(G1909, "", "")"),44462.0)</f>
        <v>44462</v>
      </c>
      <c r="I1909" s="15">
        <f>IFERROR(__xludf.DUMMYFUNCTION("""COMPUTED_VALUE"""),0.7964467592592592)</f>
        <v>0.7964467593</v>
      </c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</row>
    <row r="1910">
      <c r="A1910" s="12">
        <v>0.2</v>
      </c>
      <c r="B1910" s="12">
        <v>229.8</v>
      </c>
      <c r="C1910" s="12">
        <v>19.3</v>
      </c>
      <c r="D1910" s="12">
        <v>4.74</v>
      </c>
      <c r="E1910" s="12">
        <v>0.43</v>
      </c>
      <c r="F1910" s="12">
        <v>49.9</v>
      </c>
      <c r="G1910" s="13">
        <v>44462.79655494213</v>
      </c>
      <c r="H1910" s="14">
        <f>IFERROR(__xludf.DUMMYFUNCTION("SPLIT(G1910, "", "")"),44462.0)</f>
        <v>44462</v>
      </c>
      <c r="I1910" s="15">
        <f>IFERROR(__xludf.DUMMYFUNCTION("""COMPUTED_VALUE"""),0.7965509259259259)</f>
        <v>0.7965509259</v>
      </c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</row>
    <row r="1911">
      <c r="A1911" s="12">
        <v>0.19</v>
      </c>
      <c r="B1911" s="12">
        <v>229.8</v>
      </c>
      <c r="C1911" s="12">
        <v>19.3</v>
      </c>
      <c r="D1911" s="12">
        <v>4.74</v>
      </c>
      <c r="E1911" s="12">
        <v>0.43</v>
      </c>
      <c r="F1911" s="12">
        <v>49.9</v>
      </c>
      <c r="G1911" s="13">
        <v>44462.796656018516</v>
      </c>
      <c r="H1911" s="14">
        <f>IFERROR(__xludf.DUMMYFUNCTION("SPLIT(G1911, "", "")"),44462.0)</f>
        <v>44462</v>
      </c>
      <c r="I1911" s="15">
        <f>IFERROR(__xludf.DUMMYFUNCTION("""COMPUTED_VALUE"""),0.7966550925925926)</f>
        <v>0.7966550926</v>
      </c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</row>
    <row r="1912">
      <c r="A1912" s="12">
        <v>0.2</v>
      </c>
      <c r="B1912" s="12">
        <v>229.8</v>
      </c>
      <c r="C1912" s="12">
        <v>19.4</v>
      </c>
      <c r="D1912" s="12">
        <v>4.74</v>
      </c>
      <c r="E1912" s="12">
        <v>0.43</v>
      </c>
      <c r="F1912" s="12">
        <v>50.0</v>
      </c>
      <c r="G1912" s="13">
        <v>44462.79675734954</v>
      </c>
      <c r="H1912" s="14">
        <f>IFERROR(__xludf.DUMMYFUNCTION("SPLIT(G1912, "", "")"),44462.0)</f>
        <v>44462</v>
      </c>
      <c r="I1912" s="15">
        <f>IFERROR(__xludf.DUMMYFUNCTION("""COMPUTED_VALUE"""),0.7967592592592593)</f>
        <v>0.7967592593</v>
      </c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</row>
    <row r="1913">
      <c r="A1913" s="12">
        <v>0.19</v>
      </c>
      <c r="B1913" s="12">
        <v>229.8</v>
      </c>
      <c r="C1913" s="12">
        <v>19.2</v>
      </c>
      <c r="D1913" s="12">
        <v>4.74</v>
      </c>
      <c r="E1913" s="12">
        <v>0.43</v>
      </c>
      <c r="F1913" s="12">
        <v>50.0</v>
      </c>
      <c r="G1913" s="13">
        <v>44462.796860462964</v>
      </c>
      <c r="H1913" s="14">
        <f>IFERROR(__xludf.DUMMYFUNCTION("SPLIT(G1913, "", "")"),44462.0)</f>
        <v>44462</v>
      </c>
      <c r="I1913" s="15">
        <f>IFERROR(__xludf.DUMMYFUNCTION("""COMPUTED_VALUE"""),0.796863425925926)</f>
        <v>0.7968634259</v>
      </c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</row>
    <row r="1914">
      <c r="A1914" s="12">
        <v>0.2</v>
      </c>
      <c r="B1914" s="12">
        <v>229.8</v>
      </c>
      <c r="C1914" s="12">
        <v>19.3</v>
      </c>
      <c r="D1914" s="12">
        <v>4.74</v>
      </c>
      <c r="E1914" s="12">
        <v>0.43</v>
      </c>
      <c r="F1914" s="12">
        <v>50.0</v>
      </c>
      <c r="G1914" s="13">
        <v>44462.79696208333</v>
      </c>
      <c r="H1914" s="14">
        <f>IFERROR(__xludf.DUMMYFUNCTION("SPLIT(G1914, "", "")"),44462.0)</f>
        <v>44462</v>
      </c>
      <c r="I1914" s="15">
        <f>IFERROR(__xludf.DUMMYFUNCTION("""COMPUTED_VALUE"""),0.7969675925925926)</f>
        <v>0.7969675926</v>
      </c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</row>
    <row r="1915">
      <c r="A1915" s="12">
        <v>0.2</v>
      </c>
      <c r="B1915" s="12">
        <v>229.8</v>
      </c>
      <c r="C1915" s="12">
        <v>19.2</v>
      </c>
      <c r="D1915" s="12">
        <v>4.74</v>
      </c>
      <c r="E1915" s="12">
        <v>0.43</v>
      </c>
      <c r="F1915" s="12">
        <v>50.0</v>
      </c>
      <c r="G1915" s="13">
        <v>44462.79706228009</v>
      </c>
      <c r="H1915" s="14">
        <f>IFERROR(__xludf.DUMMYFUNCTION("SPLIT(G1915, "", "")"),44462.0)</f>
        <v>44462</v>
      </c>
      <c r="I1915" s="15">
        <f>IFERROR(__xludf.DUMMYFUNCTION("""COMPUTED_VALUE"""),0.7970601851851852)</f>
        <v>0.7970601852</v>
      </c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</row>
    <row r="1916">
      <c r="A1916" s="12">
        <v>0.19</v>
      </c>
      <c r="B1916" s="12">
        <v>229.8</v>
      </c>
      <c r="C1916" s="12">
        <v>19.1</v>
      </c>
      <c r="D1916" s="12">
        <v>4.74</v>
      </c>
      <c r="E1916" s="12">
        <v>0.43</v>
      </c>
      <c r="F1916" s="12">
        <v>50.0</v>
      </c>
      <c r="G1916" s="13">
        <v>44462.7971660301</v>
      </c>
      <c r="H1916" s="14">
        <f>IFERROR(__xludf.DUMMYFUNCTION("SPLIT(G1916, "", "")"),44462.0)</f>
        <v>44462</v>
      </c>
      <c r="I1916" s="15">
        <f>IFERROR(__xludf.DUMMYFUNCTION("""COMPUTED_VALUE"""),0.7971643518518519)</f>
        <v>0.7971643519</v>
      </c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</row>
    <row r="1917">
      <c r="A1917" s="12">
        <v>0.19</v>
      </c>
      <c r="B1917" s="12">
        <v>229.7</v>
      </c>
      <c r="C1917" s="12">
        <v>19.1</v>
      </c>
      <c r="D1917" s="12">
        <v>4.74</v>
      </c>
      <c r="E1917" s="12">
        <v>0.43</v>
      </c>
      <c r="F1917" s="12">
        <v>50.0</v>
      </c>
      <c r="G1917" s="13">
        <v>44462.79726921296</v>
      </c>
      <c r="H1917" s="14">
        <f>IFERROR(__xludf.DUMMYFUNCTION("SPLIT(G1917, "", "")"),44462.0)</f>
        <v>44462</v>
      </c>
      <c r="I1917" s="15">
        <f>IFERROR(__xludf.DUMMYFUNCTION("""COMPUTED_VALUE"""),0.7972685185185185)</f>
        <v>0.7972685185</v>
      </c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</row>
    <row r="1918">
      <c r="A1918" s="12">
        <v>0.19</v>
      </c>
      <c r="B1918" s="12">
        <v>229.3</v>
      </c>
      <c r="C1918" s="12">
        <v>18.7</v>
      </c>
      <c r="D1918" s="12">
        <v>4.74</v>
      </c>
      <c r="E1918" s="12">
        <v>0.42</v>
      </c>
      <c r="F1918" s="12">
        <v>50.0</v>
      </c>
      <c r="G1918" s="13">
        <v>44462.797371064815</v>
      </c>
      <c r="H1918" s="14">
        <f>IFERROR(__xludf.DUMMYFUNCTION("SPLIT(G1918, "", "")"),44462.0)</f>
        <v>44462</v>
      </c>
      <c r="I1918" s="15">
        <f>IFERROR(__xludf.DUMMYFUNCTION("""COMPUTED_VALUE"""),0.7973726851851852)</f>
        <v>0.7973726852</v>
      </c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</row>
    <row r="1919">
      <c r="A1919" s="12">
        <v>0.19</v>
      </c>
      <c r="B1919" s="12">
        <v>229.4</v>
      </c>
      <c r="C1919" s="12">
        <v>18.7</v>
      </c>
      <c r="D1919" s="12">
        <v>4.74</v>
      </c>
      <c r="E1919" s="12">
        <v>0.42</v>
      </c>
      <c r="F1919" s="12">
        <v>50.0</v>
      </c>
      <c r="G1919" s="13">
        <v>44462.79747597223</v>
      </c>
      <c r="H1919" s="14">
        <f>IFERROR(__xludf.DUMMYFUNCTION("SPLIT(G1919, "", "")"),44462.0)</f>
        <v>44462</v>
      </c>
      <c r="I1919" s="15">
        <f>IFERROR(__xludf.DUMMYFUNCTION("""COMPUTED_VALUE"""),0.7974768518518518)</f>
        <v>0.7974768519</v>
      </c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</row>
    <row r="1920">
      <c r="A1920" s="12">
        <v>0.19</v>
      </c>
      <c r="B1920" s="12">
        <v>229.4</v>
      </c>
      <c r="C1920" s="12">
        <v>18.7</v>
      </c>
      <c r="D1920" s="12">
        <v>4.74</v>
      </c>
      <c r="E1920" s="12">
        <v>0.43</v>
      </c>
      <c r="F1920" s="12">
        <v>50.0</v>
      </c>
      <c r="G1920" s="13">
        <v>44462.797578576385</v>
      </c>
      <c r="H1920" s="14">
        <f>IFERROR(__xludf.DUMMYFUNCTION("SPLIT(G1920, "", "")"),44462.0)</f>
        <v>44462</v>
      </c>
      <c r="I1920" s="15">
        <f>IFERROR(__xludf.DUMMYFUNCTION("""COMPUTED_VALUE"""),0.7975810185185185)</f>
        <v>0.7975810185</v>
      </c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</row>
    <row r="1921">
      <c r="A1921" s="12">
        <v>0.19</v>
      </c>
      <c r="B1921" s="12">
        <v>229.8</v>
      </c>
      <c r="C1921" s="12">
        <v>19.0</v>
      </c>
      <c r="D1921" s="12">
        <v>4.74</v>
      </c>
      <c r="E1921" s="12">
        <v>0.43</v>
      </c>
      <c r="F1921" s="12">
        <v>50.0</v>
      </c>
      <c r="G1921" s="13">
        <v>44462.797684097226</v>
      </c>
      <c r="H1921" s="14">
        <f>IFERROR(__xludf.DUMMYFUNCTION("SPLIT(G1921, "", "")"),44462.0)</f>
        <v>44462</v>
      </c>
      <c r="I1921" s="15">
        <f>IFERROR(__xludf.DUMMYFUNCTION("""COMPUTED_VALUE"""),0.7976851851851852)</f>
        <v>0.7976851852</v>
      </c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</row>
    <row r="1922">
      <c r="A1922" s="12">
        <v>0.19</v>
      </c>
      <c r="B1922" s="12">
        <v>229.7</v>
      </c>
      <c r="C1922" s="12">
        <v>18.9</v>
      </c>
      <c r="D1922" s="12">
        <v>4.74</v>
      </c>
      <c r="E1922" s="12">
        <v>0.43</v>
      </c>
      <c r="F1922" s="12">
        <v>49.9</v>
      </c>
      <c r="G1922" s="13">
        <v>44462.797790462966</v>
      </c>
      <c r="H1922" s="14">
        <f>IFERROR(__xludf.DUMMYFUNCTION("SPLIT(G1922, "", "")"),44462.0)</f>
        <v>44462</v>
      </c>
      <c r="I1922" s="15">
        <f>IFERROR(__xludf.DUMMYFUNCTION("""COMPUTED_VALUE"""),0.7977893518518518)</f>
        <v>0.7977893519</v>
      </c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</row>
    <row r="1923">
      <c r="A1923" s="12">
        <v>0.19</v>
      </c>
      <c r="B1923" s="12">
        <v>229.8</v>
      </c>
      <c r="C1923" s="12">
        <v>18.9</v>
      </c>
      <c r="D1923" s="12">
        <v>4.74</v>
      </c>
      <c r="E1923" s="12">
        <v>0.43</v>
      </c>
      <c r="F1923" s="12">
        <v>50.0</v>
      </c>
      <c r="G1923" s="13">
        <v>44462.79789149306</v>
      </c>
      <c r="H1923" s="14">
        <f>IFERROR(__xludf.DUMMYFUNCTION("SPLIT(G1923, "", "")"),44462.0)</f>
        <v>44462</v>
      </c>
      <c r="I1923" s="15">
        <f>IFERROR(__xludf.DUMMYFUNCTION("""COMPUTED_VALUE"""),0.7978935185185185)</f>
        <v>0.7978935185</v>
      </c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</row>
    <row r="1924">
      <c r="A1924" s="12">
        <v>0.19</v>
      </c>
      <c r="B1924" s="12">
        <v>229.8</v>
      </c>
      <c r="C1924" s="12">
        <v>19.0</v>
      </c>
      <c r="D1924" s="12">
        <v>4.74</v>
      </c>
      <c r="E1924" s="12">
        <v>0.43</v>
      </c>
      <c r="F1924" s="12">
        <v>50.0</v>
      </c>
      <c r="G1924" s="13">
        <v>44462.79799178241</v>
      </c>
      <c r="H1924" s="14">
        <f>IFERROR(__xludf.DUMMYFUNCTION("SPLIT(G1924, "", "")"),44462.0)</f>
        <v>44462</v>
      </c>
      <c r="I1924" s="15">
        <f>IFERROR(__xludf.DUMMYFUNCTION("""COMPUTED_VALUE"""),0.7979861111111111)</f>
        <v>0.7979861111</v>
      </c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</row>
    <row r="1925">
      <c r="A1925" s="12">
        <v>0.19</v>
      </c>
      <c r="B1925" s="12">
        <v>229.9</v>
      </c>
      <c r="C1925" s="12">
        <v>19.1</v>
      </c>
      <c r="D1925" s="12">
        <v>4.74</v>
      </c>
      <c r="E1925" s="12">
        <v>0.43</v>
      </c>
      <c r="F1925" s="12">
        <v>49.9</v>
      </c>
      <c r="G1925" s="13">
        <v>44462.79809798611</v>
      </c>
      <c r="H1925" s="14">
        <f>IFERROR(__xludf.DUMMYFUNCTION("SPLIT(G1925, "", "")"),44462.0)</f>
        <v>44462</v>
      </c>
      <c r="I1925" s="15">
        <f>IFERROR(__xludf.DUMMYFUNCTION("""COMPUTED_VALUE"""),0.7981018518518519)</f>
        <v>0.7981018519</v>
      </c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</row>
    <row r="1926">
      <c r="A1926" s="12">
        <v>0.19</v>
      </c>
      <c r="B1926" s="12">
        <v>229.8</v>
      </c>
      <c r="C1926" s="12">
        <v>19.0</v>
      </c>
      <c r="D1926" s="12">
        <v>4.74</v>
      </c>
      <c r="E1926" s="12">
        <v>0.43</v>
      </c>
      <c r="F1926" s="12">
        <v>50.0</v>
      </c>
      <c r="G1926" s="13">
        <v>44462.79821112269</v>
      </c>
      <c r="H1926" s="14">
        <f>IFERROR(__xludf.DUMMYFUNCTION("SPLIT(G1926, "", "")"),44462.0)</f>
        <v>44462</v>
      </c>
      <c r="I1926" s="15">
        <f>IFERROR(__xludf.DUMMYFUNCTION("""COMPUTED_VALUE"""),0.7982060185185185)</f>
        <v>0.7982060185</v>
      </c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</row>
    <row r="1927">
      <c r="A1927" s="12">
        <v>0.19</v>
      </c>
      <c r="B1927" s="12">
        <v>230.0</v>
      </c>
      <c r="C1927" s="12">
        <v>19.1</v>
      </c>
      <c r="D1927" s="12">
        <v>4.74</v>
      </c>
      <c r="E1927" s="12">
        <v>0.43</v>
      </c>
      <c r="F1927" s="12">
        <v>50.0</v>
      </c>
      <c r="G1927" s="13">
        <v>44462.798321712966</v>
      </c>
      <c r="H1927" s="14">
        <f>IFERROR(__xludf.DUMMYFUNCTION("SPLIT(G1927, "", "")"),44462.0)</f>
        <v>44462</v>
      </c>
      <c r="I1927" s="15">
        <f>IFERROR(__xludf.DUMMYFUNCTION("""COMPUTED_VALUE"""),0.7983217592592593)</f>
        <v>0.7983217593</v>
      </c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</row>
    <row r="1928">
      <c r="A1928" s="12">
        <v>0.19</v>
      </c>
      <c r="B1928" s="12">
        <v>229.9</v>
      </c>
      <c r="C1928" s="12">
        <v>18.9</v>
      </c>
      <c r="D1928" s="12">
        <v>4.74</v>
      </c>
      <c r="E1928" s="12">
        <v>0.42</v>
      </c>
      <c r="F1928" s="12">
        <v>50.0</v>
      </c>
      <c r="G1928" s="13">
        <v>44462.79842324074</v>
      </c>
      <c r="H1928" s="14">
        <f>IFERROR(__xludf.DUMMYFUNCTION("SPLIT(G1928, "", "")"),44462.0)</f>
        <v>44462</v>
      </c>
      <c r="I1928" s="15">
        <f>IFERROR(__xludf.DUMMYFUNCTION("""COMPUTED_VALUE"""),0.7984259259259259)</f>
        <v>0.7984259259</v>
      </c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</row>
    <row r="1929">
      <c r="A1929" s="12">
        <v>0.19</v>
      </c>
      <c r="B1929" s="12">
        <v>229.9</v>
      </c>
      <c r="C1929" s="12">
        <v>18.9</v>
      </c>
      <c r="D1929" s="12">
        <v>4.74</v>
      </c>
      <c r="E1929" s="12">
        <v>0.42</v>
      </c>
      <c r="F1929" s="12">
        <v>50.0</v>
      </c>
      <c r="G1929" s="13">
        <v>44462.798527418985</v>
      </c>
      <c r="H1929" s="14">
        <f>IFERROR(__xludf.DUMMYFUNCTION("SPLIT(G1929, "", "")"),44462.0)</f>
        <v>44462</v>
      </c>
      <c r="I1929" s="15">
        <f>IFERROR(__xludf.DUMMYFUNCTION("""COMPUTED_VALUE"""),0.7985300925925926)</f>
        <v>0.7985300926</v>
      </c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</row>
    <row r="1930">
      <c r="A1930" s="12">
        <v>0.19</v>
      </c>
      <c r="B1930" s="12">
        <v>229.9</v>
      </c>
      <c r="C1930" s="12">
        <v>18.9</v>
      </c>
      <c r="D1930" s="12">
        <v>4.74</v>
      </c>
      <c r="E1930" s="12">
        <v>0.43</v>
      </c>
      <c r="F1930" s="12">
        <v>50.0</v>
      </c>
      <c r="G1930" s="13">
        <v>44462.79863435186</v>
      </c>
      <c r="H1930" s="14">
        <f>IFERROR(__xludf.DUMMYFUNCTION("SPLIT(G1930, "", "")"),44462.0)</f>
        <v>44462</v>
      </c>
      <c r="I1930" s="15">
        <f>IFERROR(__xludf.DUMMYFUNCTION("""COMPUTED_VALUE"""),0.7986342592592592)</f>
        <v>0.7986342593</v>
      </c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</row>
    <row r="1931">
      <c r="A1931" s="12">
        <v>0.19</v>
      </c>
      <c r="B1931" s="12">
        <v>230.1</v>
      </c>
      <c r="C1931" s="12">
        <v>19.0</v>
      </c>
      <c r="D1931" s="12">
        <v>4.74</v>
      </c>
      <c r="E1931" s="12">
        <v>0.43</v>
      </c>
      <c r="F1931" s="12">
        <v>50.0</v>
      </c>
      <c r="G1931" s="13">
        <v>44462.798732627314</v>
      </c>
      <c r="H1931" s="14">
        <f>IFERROR(__xludf.DUMMYFUNCTION("SPLIT(G1931, "", "")"),44462.0)</f>
        <v>44462</v>
      </c>
      <c r="I1931" s="15">
        <f>IFERROR(__xludf.DUMMYFUNCTION("""COMPUTED_VALUE"""),0.7987268518518519)</f>
        <v>0.7987268519</v>
      </c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</row>
    <row r="1932">
      <c r="A1932" s="12">
        <v>0.19</v>
      </c>
      <c r="B1932" s="12">
        <v>229.7</v>
      </c>
      <c r="C1932" s="12">
        <v>18.8</v>
      </c>
      <c r="D1932" s="12">
        <v>4.74</v>
      </c>
      <c r="E1932" s="12">
        <v>0.43</v>
      </c>
      <c r="F1932" s="12">
        <v>50.0</v>
      </c>
      <c r="G1932" s="13">
        <v>44462.798833761575</v>
      </c>
      <c r="H1932" s="14">
        <f>IFERROR(__xludf.DUMMYFUNCTION("SPLIT(G1932, "", "")"),44462.0)</f>
        <v>44462</v>
      </c>
      <c r="I1932" s="15">
        <f>IFERROR(__xludf.DUMMYFUNCTION("""COMPUTED_VALUE"""),0.7988310185185186)</f>
        <v>0.7988310185</v>
      </c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</row>
    <row r="1933">
      <c r="A1933" s="12">
        <v>0.19</v>
      </c>
      <c r="B1933" s="12">
        <v>230.0</v>
      </c>
      <c r="C1933" s="12">
        <v>19.0</v>
      </c>
      <c r="D1933" s="12">
        <v>4.74</v>
      </c>
      <c r="E1933" s="12">
        <v>0.43</v>
      </c>
      <c r="F1933" s="12">
        <v>50.0</v>
      </c>
      <c r="G1933" s="13">
        <v>44462.798940486115</v>
      </c>
      <c r="H1933" s="14">
        <f>IFERROR(__xludf.DUMMYFUNCTION("SPLIT(G1933, "", "")"),44462.0)</f>
        <v>44462</v>
      </c>
      <c r="I1933" s="15">
        <f>IFERROR(__xludf.DUMMYFUNCTION("""COMPUTED_VALUE"""),0.7989351851851851)</f>
        <v>0.7989351852</v>
      </c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</row>
    <row r="1934">
      <c r="A1934" s="12">
        <v>0.19</v>
      </c>
      <c r="B1934" s="12">
        <v>230.0</v>
      </c>
      <c r="C1934" s="12">
        <v>18.9</v>
      </c>
      <c r="D1934" s="12">
        <v>4.74</v>
      </c>
      <c r="E1934" s="12">
        <v>0.43</v>
      </c>
      <c r="F1934" s="12">
        <v>49.9</v>
      </c>
      <c r="G1934" s="13">
        <v>44462.79904724537</v>
      </c>
      <c r="H1934" s="14">
        <f>IFERROR(__xludf.DUMMYFUNCTION("SPLIT(G1934, "", "")"),44462.0)</f>
        <v>44462</v>
      </c>
      <c r="I1934" s="15">
        <f>IFERROR(__xludf.DUMMYFUNCTION("""COMPUTED_VALUE"""),0.799050925925926)</f>
        <v>0.7990509259</v>
      </c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</row>
    <row r="1935">
      <c r="A1935" s="12">
        <v>0.19</v>
      </c>
      <c r="B1935" s="12">
        <v>229.8</v>
      </c>
      <c r="C1935" s="12">
        <v>18.8</v>
      </c>
      <c r="D1935" s="12">
        <v>4.74</v>
      </c>
      <c r="E1935" s="12">
        <v>0.42</v>
      </c>
      <c r="F1935" s="12">
        <v>50.0</v>
      </c>
      <c r="G1935" s="13">
        <v>44462.799151168976</v>
      </c>
      <c r="H1935" s="14">
        <f>IFERROR(__xludf.DUMMYFUNCTION("SPLIT(G1935, "", "")"),44462.0)</f>
        <v>44462</v>
      </c>
      <c r="I1935" s="15">
        <f>IFERROR(__xludf.DUMMYFUNCTION("""COMPUTED_VALUE"""),0.7991550925925925)</f>
        <v>0.7991550926</v>
      </c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</row>
    <row r="1936">
      <c r="A1936" s="12">
        <v>0.19</v>
      </c>
      <c r="B1936" s="12">
        <v>230.0</v>
      </c>
      <c r="C1936" s="12">
        <v>18.9</v>
      </c>
      <c r="D1936" s="12">
        <v>4.74</v>
      </c>
      <c r="E1936" s="12">
        <v>0.43</v>
      </c>
      <c r="F1936" s="12">
        <v>50.0</v>
      </c>
      <c r="G1936" s="13">
        <v>44462.79926068287</v>
      </c>
      <c r="H1936" s="14">
        <f>IFERROR(__xludf.DUMMYFUNCTION("SPLIT(G1936, "", "")"),44462.0)</f>
        <v>44462</v>
      </c>
      <c r="I1936" s="15">
        <f>IFERROR(__xludf.DUMMYFUNCTION("""COMPUTED_VALUE"""),0.7992592592592592)</f>
        <v>0.7992592593</v>
      </c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</row>
    <row r="1937">
      <c r="A1937" s="12">
        <v>0.19</v>
      </c>
      <c r="B1937" s="12">
        <v>230.1</v>
      </c>
      <c r="C1937" s="12">
        <v>18.8</v>
      </c>
      <c r="D1937" s="12">
        <v>4.74</v>
      </c>
      <c r="E1937" s="12">
        <v>0.43</v>
      </c>
      <c r="F1937" s="12">
        <v>50.0</v>
      </c>
      <c r="G1937" s="13">
        <v>44462.799384247686</v>
      </c>
      <c r="H1937" s="14">
        <f>IFERROR(__xludf.DUMMYFUNCTION("SPLIT(G1937, "", "")"),44462.0)</f>
        <v>44462</v>
      </c>
      <c r="I1937" s="15">
        <f>IFERROR(__xludf.DUMMYFUNCTION("""COMPUTED_VALUE"""),0.7993865740740741)</f>
        <v>0.7993865741</v>
      </c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</row>
    <row r="1938">
      <c r="A1938" s="12">
        <v>0.19</v>
      </c>
      <c r="B1938" s="12">
        <v>230.1</v>
      </c>
      <c r="C1938" s="12">
        <v>18.9</v>
      </c>
      <c r="D1938" s="12">
        <v>4.74</v>
      </c>
      <c r="E1938" s="12">
        <v>0.42</v>
      </c>
      <c r="F1938" s="12">
        <v>50.0</v>
      </c>
      <c r="G1938" s="13">
        <v>44462.79948489583</v>
      </c>
      <c r="H1938" s="14">
        <f>IFERROR(__xludf.DUMMYFUNCTION("SPLIT(G1938, "", "")"),44462.0)</f>
        <v>44462</v>
      </c>
      <c r="I1938" s="15">
        <f>IFERROR(__xludf.DUMMYFUNCTION("""COMPUTED_VALUE"""),0.7994791666666666)</f>
        <v>0.7994791667</v>
      </c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</row>
    <row r="1939">
      <c r="A1939" s="12">
        <v>0.19</v>
      </c>
      <c r="B1939" s="12">
        <v>230.1</v>
      </c>
      <c r="C1939" s="12">
        <v>18.7</v>
      </c>
      <c r="D1939" s="12">
        <v>4.74</v>
      </c>
      <c r="E1939" s="12">
        <v>0.43</v>
      </c>
      <c r="F1939" s="12">
        <v>50.0</v>
      </c>
      <c r="G1939" s="13">
        <v>44462.79958925926</v>
      </c>
      <c r="H1939" s="14">
        <f>IFERROR(__xludf.DUMMYFUNCTION("SPLIT(G1939, "", "")"),44462.0)</f>
        <v>44462</v>
      </c>
      <c r="I1939" s="15">
        <f>IFERROR(__xludf.DUMMYFUNCTION("""COMPUTED_VALUE"""),0.7995949074074075)</f>
        <v>0.7995949074</v>
      </c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</row>
    <row r="1940">
      <c r="A1940" s="12">
        <v>0.19</v>
      </c>
      <c r="B1940" s="12">
        <v>230.0</v>
      </c>
      <c r="C1940" s="12">
        <v>18.7</v>
      </c>
      <c r="D1940" s="12">
        <v>4.74</v>
      </c>
      <c r="E1940" s="12">
        <v>0.42</v>
      </c>
      <c r="F1940" s="12">
        <v>50.0</v>
      </c>
      <c r="G1940" s="13">
        <v>44462.79969980324</v>
      </c>
      <c r="H1940" s="14">
        <f>IFERROR(__xludf.DUMMYFUNCTION("SPLIT(G1940, "", "")"),44462.0)</f>
        <v>44462</v>
      </c>
      <c r="I1940" s="15">
        <f>IFERROR(__xludf.DUMMYFUNCTION("""COMPUTED_VALUE"""),0.799699074074074)</f>
        <v>0.7996990741</v>
      </c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</row>
    <row r="1941">
      <c r="A1941" s="12">
        <v>0.19</v>
      </c>
      <c r="B1941" s="12">
        <v>230.0</v>
      </c>
      <c r="C1941" s="12">
        <v>18.7</v>
      </c>
      <c r="D1941" s="12">
        <v>4.74</v>
      </c>
      <c r="E1941" s="12">
        <v>0.42</v>
      </c>
      <c r="F1941" s="12">
        <v>50.0</v>
      </c>
      <c r="G1941" s="13">
        <v>44462.79980857639</v>
      </c>
      <c r="H1941" s="14">
        <f>IFERROR(__xludf.DUMMYFUNCTION("SPLIT(G1941, "", "")"),44462.0)</f>
        <v>44462</v>
      </c>
      <c r="I1941" s="15">
        <f>IFERROR(__xludf.DUMMYFUNCTION("""COMPUTED_VALUE"""),0.7998032407407407)</f>
        <v>0.7998032407</v>
      </c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</row>
    <row r="1942">
      <c r="A1942" s="12">
        <v>0.19</v>
      </c>
      <c r="B1942" s="12">
        <v>230.0</v>
      </c>
      <c r="C1942" s="12">
        <v>18.7</v>
      </c>
      <c r="D1942" s="12">
        <v>4.74</v>
      </c>
      <c r="E1942" s="12">
        <v>0.43</v>
      </c>
      <c r="F1942" s="12">
        <v>50.0</v>
      </c>
      <c r="G1942" s="13">
        <v>44462.799914641204</v>
      </c>
      <c r="H1942" s="14">
        <f>IFERROR(__xludf.DUMMYFUNCTION("SPLIT(G1942, "", "")"),44462.0)</f>
        <v>44462</v>
      </c>
      <c r="I1942" s="15">
        <f>IFERROR(__xludf.DUMMYFUNCTION("""COMPUTED_VALUE"""),0.7999189814814814)</f>
        <v>0.7999189815</v>
      </c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</row>
    <row r="1943">
      <c r="A1943" s="12">
        <v>0.19</v>
      </c>
      <c r="B1943" s="12">
        <v>229.7</v>
      </c>
      <c r="C1943" s="12">
        <v>18.6</v>
      </c>
      <c r="D1943" s="12">
        <v>4.74</v>
      </c>
      <c r="E1943" s="12">
        <v>0.43</v>
      </c>
      <c r="F1943" s="12">
        <v>50.0</v>
      </c>
      <c r="G1943" s="13">
        <v>44462.80002165509</v>
      </c>
      <c r="H1943" s="14">
        <f>IFERROR(__xludf.DUMMYFUNCTION("SPLIT(G1943, "", "")"),44462.0)</f>
        <v>44462</v>
      </c>
      <c r="I1943" s="15">
        <f>IFERROR(__xludf.DUMMYFUNCTION("""COMPUTED_VALUE"""),0.8000231481481481)</f>
        <v>0.8000231481</v>
      </c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</row>
    <row r="1944">
      <c r="A1944" s="12">
        <v>0.19</v>
      </c>
      <c r="B1944" s="12">
        <v>229.5</v>
      </c>
      <c r="C1944" s="12">
        <v>18.1</v>
      </c>
      <c r="D1944" s="12">
        <v>4.74</v>
      </c>
      <c r="E1944" s="12">
        <v>0.42</v>
      </c>
      <c r="F1944" s="12">
        <v>50.0</v>
      </c>
      <c r="G1944" s="13">
        <v>44462.80012346065</v>
      </c>
      <c r="H1944" s="14">
        <f>IFERROR(__xludf.DUMMYFUNCTION("SPLIT(G1944, "", "")"),44462.0)</f>
        <v>44462</v>
      </c>
      <c r="I1944" s="15">
        <f>IFERROR(__xludf.DUMMYFUNCTION("""COMPUTED_VALUE"""),0.8001273148148148)</f>
        <v>0.8001273148</v>
      </c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</row>
    <row r="1945">
      <c r="A1945" s="12">
        <v>0.19</v>
      </c>
      <c r="B1945" s="12">
        <v>229.7</v>
      </c>
      <c r="C1945" s="12">
        <v>18.2</v>
      </c>
      <c r="D1945" s="12">
        <v>4.74</v>
      </c>
      <c r="E1945" s="12">
        <v>0.42</v>
      </c>
      <c r="F1945" s="12">
        <v>49.9</v>
      </c>
      <c r="G1945" s="13">
        <v>44462.80022680556</v>
      </c>
      <c r="H1945" s="14">
        <f>IFERROR(__xludf.DUMMYFUNCTION("SPLIT(G1945, "", "")"),44462.0)</f>
        <v>44462</v>
      </c>
      <c r="I1945" s="15">
        <f>IFERROR(__xludf.DUMMYFUNCTION("""COMPUTED_VALUE"""),0.8002314814814815)</f>
        <v>0.8002314815</v>
      </c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</row>
    <row r="1946">
      <c r="A1946" s="12">
        <v>0.19</v>
      </c>
      <c r="B1946" s="12">
        <v>229.6</v>
      </c>
      <c r="C1946" s="12">
        <v>18.2</v>
      </c>
      <c r="D1946" s="12">
        <v>4.74</v>
      </c>
      <c r="E1946" s="12">
        <v>0.42</v>
      </c>
      <c r="F1946" s="12">
        <v>49.9</v>
      </c>
      <c r="G1946" s="13">
        <v>44462.80032725695</v>
      </c>
      <c r="H1946" s="14">
        <f>IFERROR(__xludf.DUMMYFUNCTION("SPLIT(G1946, "", "")"),44462.0)</f>
        <v>44462</v>
      </c>
      <c r="I1946" s="15">
        <f>IFERROR(__xludf.DUMMYFUNCTION("""COMPUTED_VALUE"""),0.800324074074074)</f>
        <v>0.8003240741</v>
      </c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</row>
    <row r="1947">
      <c r="A1947" s="12">
        <v>0.19</v>
      </c>
      <c r="B1947" s="12">
        <v>229.6</v>
      </c>
      <c r="C1947" s="12">
        <v>18.1</v>
      </c>
      <c r="D1947" s="12">
        <v>4.74</v>
      </c>
      <c r="E1947" s="12">
        <v>0.42</v>
      </c>
      <c r="F1947" s="12">
        <v>50.0</v>
      </c>
      <c r="G1947" s="13">
        <v>44462.80042748843</v>
      </c>
      <c r="H1947" s="14">
        <f>IFERROR(__xludf.DUMMYFUNCTION("SPLIT(G1947, "", "")"),44462.0)</f>
        <v>44462</v>
      </c>
      <c r="I1947" s="15">
        <f>IFERROR(__xludf.DUMMYFUNCTION("""COMPUTED_VALUE"""),0.8004282407407407)</f>
        <v>0.8004282407</v>
      </c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</row>
    <row r="1948">
      <c r="A1948" s="12">
        <v>0.19</v>
      </c>
      <c r="B1948" s="12">
        <v>229.6</v>
      </c>
      <c r="C1948" s="12">
        <v>18.1</v>
      </c>
      <c r="D1948" s="12">
        <v>4.74</v>
      </c>
      <c r="E1948" s="12">
        <v>0.42</v>
      </c>
      <c r="F1948" s="12">
        <v>50.0</v>
      </c>
      <c r="G1948" s="13">
        <v>44462.8005290625</v>
      </c>
      <c r="H1948" s="14">
        <f>IFERROR(__xludf.DUMMYFUNCTION("SPLIT(G1948, "", "")"),44462.0)</f>
        <v>44462</v>
      </c>
      <c r="I1948" s="15">
        <f>IFERROR(__xludf.DUMMYFUNCTION("""COMPUTED_VALUE"""),0.8005324074074074)</f>
        <v>0.8005324074</v>
      </c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</row>
    <row r="1949">
      <c r="A1949" s="12">
        <v>0.19</v>
      </c>
      <c r="B1949" s="12">
        <v>229.7</v>
      </c>
      <c r="C1949" s="12">
        <v>18.1</v>
      </c>
      <c r="D1949" s="12">
        <v>4.74</v>
      </c>
      <c r="E1949" s="12">
        <v>0.42</v>
      </c>
      <c r="F1949" s="12">
        <v>50.0</v>
      </c>
      <c r="G1949" s="13">
        <v>44462.80072302083</v>
      </c>
      <c r="H1949" s="14">
        <f>IFERROR(__xludf.DUMMYFUNCTION("SPLIT(G1949, "", "")"),44462.0)</f>
        <v>44462</v>
      </c>
      <c r="I1949" s="15">
        <f>IFERROR(__xludf.DUMMYFUNCTION("""COMPUTED_VALUE"""),0.8007175925925926)</f>
        <v>0.8007175926</v>
      </c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</row>
    <row r="1950">
      <c r="A1950" s="12">
        <v>0.19</v>
      </c>
      <c r="B1950" s="12">
        <v>229.7</v>
      </c>
      <c r="C1950" s="12">
        <v>18.1</v>
      </c>
      <c r="D1950" s="12">
        <v>4.74</v>
      </c>
      <c r="E1950" s="12">
        <v>0.42</v>
      </c>
      <c r="F1950" s="12">
        <v>50.0</v>
      </c>
      <c r="G1950" s="13">
        <v>44462.80076240741</v>
      </c>
      <c r="H1950" s="14">
        <f>IFERROR(__xludf.DUMMYFUNCTION("SPLIT(G1950, "", "")"),44462.0)</f>
        <v>44462</v>
      </c>
      <c r="I1950" s="15">
        <f>IFERROR(__xludf.DUMMYFUNCTION("""COMPUTED_VALUE"""),0.8007638888888889)</f>
        <v>0.8007638889</v>
      </c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</row>
    <row r="1951">
      <c r="A1951" s="12">
        <v>0.19</v>
      </c>
      <c r="B1951" s="12">
        <v>229.7</v>
      </c>
      <c r="C1951" s="12">
        <v>18.0</v>
      </c>
      <c r="D1951" s="12">
        <v>4.74</v>
      </c>
      <c r="E1951" s="12">
        <v>0.42</v>
      </c>
      <c r="F1951" s="12">
        <v>49.9</v>
      </c>
      <c r="G1951" s="13">
        <v>44462.80086614583</v>
      </c>
      <c r="H1951" s="14">
        <f>IFERROR(__xludf.DUMMYFUNCTION("SPLIT(G1951, "", "")"),44462.0)</f>
        <v>44462</v>
      </c>
      <c r="I1951" s="15">
        <f>IFERROR(__xludf.DUMMYFUNCTION("""COMPUTED_VALUE"""),0.8008680555555555)</f>
        <v>0.8008680556</v>
      </c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</row>
    <row r="1952">
      <c r="A1952" s="12">
        <v>0.19</v>
      </c>
      <c r="B1952" s="12">
        <v>229.7</v>
      </c>
      <c r="C1952" s="12">
        <v>18.0</v>
      </c>
      <c r="D1952" s="12">
        <v>4.74</v>
      </c>
      <c r="E1952" s="12">
        <v>0.42</v>
      </c>
      <c r="F1952" s="12">
        <v>49.9</v>
      </c>
      <c r="G1952" s="13">
        <v>44462.80096678241</v>
      </c>
      <c r="H1952" s="14">
        <f>IFERROR(__xludf.DUMMYFUNCTION("SPLIT(G1952, "", "")"),44462.0)</f>
        <v>44462</v>
      </c>
      <c r="I1952" s="15">
        <f>IFERROR(__xludf.DUMMYFUNCTION("""COMPUTED_VALUE"""),0.8009722222222222)</f>
        <v>0.8009722222</v>
      </c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</row>
    <row r="1953">
      <c r="A1953" s="12">
        <v>0.19</v>
      </c>
      <c r="B1953" s="12">
        <v>229.8</v>
      </c>
      <c r="C1953" s="12">
        <v>18.0</v>
      </c>
      <c r="D1953" s="12">
        <v>4.74</v>
      </c>
      <c r="E1953" s="12">
        <v>0.42</v>
      </c>
      <c r="F1953" s="12">
        <v>49.9</v>
      </c>
      <c r="G1953" s="13">
        <v>44462.80109951389</v>
      </c>
      <c r="H1953" s="14">
        <f>IFERROR(__xludf.DUMMYFUNCTION("SPLIT(G1953, "", "")"),44462.0)</f>
        <v>44462</v>
      </c>
      <c r="I1953" s="15">
        <f>IFERROR(__xludf.DUMMYFUNCTION("""COMPUTED_VALUE"""),0.8010995370370371)</f>
        <v>0.801099537</v>
      </c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</row>
    <row r="1954">
      <c r="A1954" s="12">
        <v>0.19</v>
      </c>
      <c r="B1954" s="12">
        <v>229.9</v>
      </c>
      <c r="C1954" s="12">
        <v>18.0</v>
      </c>
      <c r="D1954" s="12">
        <v>4.74</v>
      </c>
      <c r="E1954" s="12">
        <v>0.42</v>
      </c>
      <c r="F1954" s="12">
        <v>49.9</v>
      </c>
      <c r="G1954" s="13">
        <v>44462.80120184028</v>
      </c>
      <c r="H1954" s="14">
        <f>IFERROR(__xludf.DUMMYFUNCTION("SPLIT(G1954, "", "")"),44462.0)</f>
        <v>44462</v>
      </c>
      <c r="I1954" s="15">
        <f>IFERROR(__xludf.DUMMYFUNCTION("""COMPUTED_VALUE"""),0.8012037037037038)</f>
        <v>0.8012037037</v>
      </c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</row>
    <row r="1955">
      <c r="A1955" s="12">
        <v>0.19</v>
      </c>
      <c r="B1955" s="12">
        <v>230.0</v>
      </c>
      <c r="C1955" s="12">
        <v>18.1</v>
      </c>
      <c r="D1955" s="12">
        <v>4.74</v>
      </c>
      <c r="E1955" s="12">
        <v>0.42</v>
      </c>
      <c r="F1955" s="12">
        <v>50.0</v>
      </c>
      <c r="G1955" s="13">
        <v>44462.801306469904</v>
      </c>
      <c r="H1955" s="14">
        <f>IFERROR(__xludf.DUMMYFUNCTION("SPLIT(G1955, "", "")"),44462.0)</f>
        <v>44462</v>
      </c>
      <c r="I1955" s="15">
        <f>IFERROR(__xludf.DUMMYFUNCTION("""COMPUTED_VALUE"""),0.8013078703703703)</f>
        <v>0.8013078704</v>
      </c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</row>
    <row r="1956">
      <c r="A1956" s="12">
        <v>0.19</v>
      </c>
      <c r="B1956" s="12">
        <v>230.0</v>
      </c>
      <c r="C1956" s="12">
        <v>18.1</v>
      </c>
      <c r="D1956" s="12">
        <v>4.74</v>
      </c>
      <c r="E1956" s="12">
        <v>0.42</v>
      </c>
      <c r="F1956" s="12">
        <v>50.0</v>
      </c>
      <c r="G1956" s="13">
        <v>44462.801413078705</v>
      </c>
      <c r="H1956" s="14">
        <f>IFERROR(__xludf.DUMMYFUNCTION("SPLIT(G1956, "", "")"),44462.0)</f>
        <v>44462</v>
      </c>
      <c r="I1956" s="15">
        <f>IFERROR(__xludf.DUMMYFUNCTION("""COMPUTED_VALUE"""),0.801412037037037)</f>
        <v>0.801412037</v>
      </c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</row>
    <row r="1957">
      <c r="A1957" s="12">
        <v>0.19</v>
      </c>
      <c r="B1957" s="12">
        <v>230.1</v>
      </c>
      <c r="C1957" s="12">
        <v>18.1</v>
      </c>
      <c r="D1957" s="12">
        <v>4.74</v>
      </c>
      <c r="E1957" s="12">
        <v>0.42</v>
      </c>
      <c r="F1957" s="12">
        <v>50.0</v>
      </c>
      <c r="G1957" s="13">
        <v>44462.80150972222</v>
      </c>
      <c r="H1957" s="14">
        <f>IFERROR(__xludf.DUMMYFUNCTION("SPLIT(G1957, "", "")"),44462.0)</f>
        <v>44462</v>
      </c>
      <c r="I1957" s="15">
        <f>IFERROR(__xludf.DUMMYFUNCTION("""COMPUTED_VALUE"""),0.8015046296296297)</f>
        <v>0.8015046296</v>
      </c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</row>
    <row r="1958">
      <c r="A1958" s="12">
        <v>0.19</v>
      </c>
      <c r="B1958" s="12">
        <v>230.1</v>
      </c>
      <c r="C1958" s="12">
        <v>18.1</v>
      </c>
      <c r="D1958" s="12">
        <v>4.74</v>
      </c>
      <c r="E1958" s="12">
        <v>0.42</v>
      </c>
      <c r="F1958" s="12">
        <v>50.0</v>
      </c>
      <c r="G1958" s="13">
        <v>44462.801781145834</v>
      </c>
      <c r="H1958" s="14">
        <f>IFERROR(__xludf.DUMMYFUNCTION("SPLIT(G1958, "", "")"),44462.0)</f>
        <v>44462</v>
      </c>
      <c r="I1958" s="15">
        <f>IFERROR(__xludf.DUMMYFUNCTION("""COMPUTED_VALUE"""),0.8017824074074074)</f>
        <v>0.8017824074</v>
      </c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</row>
    <row r="1959">
      <c r="A1959" s="12">
        <v>0.19</v>
      </c>
      <c r="B1959" s="12">
        <v>230.0</v>
      </c>
      <c r="C1959" s="12">
        <v>17.9</v>
      </c>
      <c r="D1959" s="12">
        <v>4.74</v>
      </c>
      <c r="E1959" s="12">
        <v>0.42</v>
      </c>
      <c r="F1959" s="12">
        <v>49.9</v>
      </c>
      <c r="G1959" s="13">
        <v>44462.801899363425</v>
      </c>
      <c r="H1959" s="14">
        <f>IFERROR(__xludf.DUMMYFUNCTION("SPLIT(G1959, "", "")"),44462.0)</f>
        <v>44462</v>
      </c>
      <c r="I1959" s="15">
        <f>IFERROR(__xludf.DUMMYFUNCTION("""COMPUTED_VALUE"""),0.8018981481481482)</f>
        <v>0.8018981481</v>
      </c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</row>
    <row r="1960">
      <c r="A1960" s="12">
        <v>0.18</v>
      </c>
      <c r="B1960" s="12">
        <v>229.8</v>
      </c>
      <c r="C1960" s="12">
        <v>17.7</v>
      </c>
      <c r="D1960" s="12">
        <v>4.74</v>
      </c>
      <c r="E1960" s="12">
        <v>0.42</v>
      </c>
      <c r="F1960" s="12">
        <v>49.9</v>
      </c>
      <c r="G1960" s="13">
        <v>44462.802006550926</v>
      </c>
      <c r="H1960" s="14">
        <f>IFERROR(__xludf.DUMMYFUNCTION("SPLIT(G1960, "", "")"),44462.0)</f>
        <v>44462</v>
      </c>
      <c r="I1960" s="15">
        <f>IFERROR(__xludf.DUMMYFUNCTION("""COMPUTED_VALUE"""),0.8020023148148148)</f>
        <v>0.8020023148</v>
      </c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</row>
    <row r="1961">
      <c r="A1961" s="12">
        <v>0.19</v>
      </c>
      <c r="B1961" s="12">
        <v>230.0</v>
      </c>
      <c r="C1961" s="12">
        <v>17.9</v>
      </c>
      <c r="D1961" s="12">
        <v>4.74</v>
      </c>
      <c r="E1961" s="12">
        <v>0.42</v>
      </c>
      <c r="F1961" s="12">
        <v>49.9</v>
      </c>
      <c r="G1961" s="13">
        <v>44462.80211491898</v>
      </c>
      <c r="H1961" s="14">
        <f>IFERROR(__xludf.DUMMYFUNCTION("SPLIT(G1961, "", "")"),44462.0)</f>
        <v>44462</v>
      </c>
      <c r="I1961" s="15">
        <f>IFERROR(__xludf.DUMMYFUNCTION("""COMPUTED_VALUE"""),0.8021180555555556)</f>
        <v>0.8021180556</v>
      </c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</row>
    <row r="1962">
      <c r="A1962" s="12">
        <v>0.19</v>
      </c>
      <c r="B1962" s="12">
        <v>230.0</v>
      </c>
      <c r="C1962" s="12">
        <v>17.8</v>
      </c>
      <c r="D1962" s="12">
        <v>4.74</v>
      </c>
      <c r="E1962" s="12">
        <v>0.42</v>
      </c>
      <c r="F1962" s="12">
        <v>49.9</v>
      </c>
      <c r="G1962" s="13">
        <v>44462.802219942125</v>
      </c>
      <c r="H1962" s="14">
        <f>IFERROR(__xludf.DUMMYFUNCTION("SPLIT(G1962, "", "")"),44462.0)</f>
        <v>44462</v>
      </c>
      <c r="I1962" s="15">
        <f>IFERROR(__xludf.DUMMYFUNCTION("""COMPUTED_VALUE"""),0.8022222222222222)</f>
        <v>0.8022222222</v>
      </c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</row>
    <row r="1963">
      <c r="A1963" s="12">
        <v>0.18</v>
      </c>
      <c r="B1963" s="12">
        <v>229.9</v>
      </c>
      <c r="C1963" s="12">
        <v>17.7</v>
      </c>
      <c r="D1963" s="12">
        <v>4.74</v>
      </c>
      <c r="E1963" s="12">
        <v>0.42</v>
      </c>
      <c r="F1963" s="12">
        <v>49.9</v>
      </c>
      <c r="G1963" s="13">
        <v>44462.80232480324</v>
      </c>
      <c r="H1963" s="14">
        <f>IFERROR(__xludf.DUMMYFUNCTION("SPLIT(G1963, "", "")"),44462.0)</f>
        <v>44462</v>
      </c>
      <c r="I1963" s="15">
        <f>IFERROR(__xludf.DUMMYFUNCTION("""COMPUTED_VALUE"""),0.8023263888888889)</f>
        <v>0.8023263889</v>
      </c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</row>
    <row r="1964">
      <c r="A1964" s="12">
        <v>0.18</v>
      </c>
      <c r="B1964" s="12">
        <v>230.0</v>
      </c>
      <c r="C1964" s="12">
        <v>17.7</v>
      </c>
      <c r="D1964" s="12">
        <v>4.74</v>
      </c>
      <c r="E1964" s="12">
        <v>0.42</v>
      </c>
      <c r="F1964" s="12">
        <v>49.9</v>
      </c>
      <c r="G1964" s="13">
        <v>44462.802435474536</v>
      </c>
      <c r="H1964" s="14">
        <f>IFERROR(__xludf.DUMMYFUNCTION("SPLIT(G1964, "", "")"),44462.0)</f>
        <v>44462</v>
      </c>
      <c r="I1964" s="15">
        <f>IFERROR(__xludf.DUMMYFUNCTION("""COMPUTED_VALUE"""),0.8024305555555555)</f>
        <v>0.8024305556</v>
      </c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</row>
    <row r="1965">
      <c r="A1965" s="12">
        <v>0.19</v>
      </c>
      <c r="B1965" s="12">
        <v>230.1</v>
      </c>
      <c r="C1965" s="12">
        <v>17.7</v>
      </c>
      <c r="D1965" s="12">
        <v>4.74</v>
      </c>
      <c r="E1965" s="12">
        <v>0.42</v>
      </c>
      <c r="F1965" s="12">
        <v>49.9</v>
      </c>
      <c r="G1965" s="13">
        <v>44462.80253988426</v>
      </c>
      <c r="H1965" s="14">
        <f>IFERROR(__xludf.DUMMYFUNCTION("SPLIT(G1965, "", "")"),44462.0)</f>
        <v>44462</v>
      </c>
      <c r="I1965" s="15">
        <f>IFERROR(__xludf.DUMMYFUNCTION("""COMPUTED_VALUE"""),0.8025347222222222)</f>
        <v>0.8025347222</v>
      </c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</row>
    <row r="1966">
      <c r="A1966" s="12">
        <v>0.18</v>
      </c>
      <c r="B1966" s="12">
        <v>229.9</v>
      </c>
      <c r="C1966" s="12">
        <v>17.5</v>
      </c>
      <c r="D1966" s="12">
        <v>4.74</v>
      </c>
      <c r="E1966" s="12">
        <v>0.42</v>
      </c>
      <c r="F1966" s="12">
        <v>49.9</v>
      </c>
      <c r="G1966" s="13">
        <v>44462.80264337963</v>
      </c>
      <c r="H1966" s="14">
        <f>IFERROR(__xludf.DUMMYFUNCTION("SPLIT(G1966, "", "")"),44462.0)</f>
        <v>44462</v>
      </c>
      <c r="I1966" s="15">
        <f>IFERROR(__xludf.DUMMYFUNCTION("""COMPUTED_VALUE"""),0.8026388888888889)</f>
        <v>0.8026388889</v>
      </c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</row>
    <row r="1967">
      <c r="A1967" s="12">
        <v>0.18</v>
      </c>
      <c r="B1967" s="12">
        <v>229.8</v>
      </c>
      <c r="C1967" s="12">
        <v>17.5</v>
      </c>
      <c r="D1967" s="12">
        <v>4.74</v>
      </c>
      <c r="E1967" s="12">
        <v>0.42</v>
      </c>
      <c r="F1967" s="12">
        <v>50.0</v>
      </c>
      <c r="G1967" s="13">
        <v>44462.80274561343</v>
      </c>
      <c r="H1967" s="14">
        <f>IFERROR(__xludf.DUMMYFUNCTION("SPLIT(G1967, "", "")"),44462.0)</f>
        <v>44462</v>
      </c>
      <c r="I1967" s="15">
        <f>IFERROR(__xludf.DUMMYFUNCTION("""COMPUTED_VALUE"""),0.8027430555555556)</f>
        <v>0.8027430556</v>
      </c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</row>
    <row r="1968">
      <c r="A1968" s="12">
        <v>0.18</v>
      </c>
      <c r="B1968" s="12">
        <v>229.8</v>
      </c>
      <c r="C1968" s="12">
        <v>17.5</v>
      </c>
      <c r="D1968" s="12">
        <v>4.74</v>
      </c>
      <c r="E1968" s="12">
        <v>0.42</v>
      </c>
      <c r="F1968" s="12">
        <v>50.0</v>
      </c>
      <c r="G1968" s="13">
        <v>44462.80284930556</v>
      </c>
      <c r="H1968" s="14">
        <f>IFERROR(__xludf.DUMMYFUNCTION("SPLIT(G1968, "", "")"),44462.0)</f>
        <v>44462</v>
      </c>
      <c r="I1968" s="15">
        <f>IFERROR(__xludf.DUMMYFUNCTION("""COMPUTED_VALUE"""),0.8028472222222223)</f>
        <v>0.8028472222</v>
      </c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</row>
    <row r="1969">
      <c r="A1969" s="12">
        <v>0.18</v>
      </c>
      <c r="B1969" s="12">
        <v>230.0</v>
      </c>
      <c r="C1969" s="12">
        <v>17.6</v>
      </c>
      <c r="D1969" s="12">
        <v>4.74</v>
      </c>
      <c r="E1969" s="12">
        <v>0.42</v>
      </c>
      <c r="F1969" s="12">
        <v>50.0</v>
      </c>
      <c r="G1969" s="13">
        <v>44462.80295744213</v>
      </c>
      <c r="H1969" s="14">
        <f>IFERROR(__xludf.DUMMYFUNCTION("SPLIT(G1969, "", "")"),44462.0)</f>
        <v>44462</v>
      </c>
      <c r="I1969" s="15">
        <f>IFERROR(__xludf.DUMMYFUNCTION("""COMPUTED_VALUE"""),0.802962962962963)</f>
        <v>0.802962963</v>
      </c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</row>
    <row r="1970">
      <c r="A1970" s="12">
        <v>0.18</v>
      </c>
      <c r="B1970" s="12">
        <v>229.9</v>
      </c>
      <c r="C1970" s="12">
        <v>17.5</v>
      </c>
      <c r="D1970" s="12">
        <v>4.74</v>
      </c>
      <c r="E1970" s="12">
        <v>0.42</v>
      </c>
      <c r="F1970" s="12">
        <v>50.0</v>
      </c>
      <c r="G1970" s="13">
        <v>44462.803069270834</v>
      </c>
      <c r="H1970" s="14">
        <f>IFERROR(__xludf.DUMMYFUNCTION("SPLIT(G1970, "", "")"),44462.0)</f>
        <v>44462</v>
      </c>
      <c r="I1970" s="15">
        <f>IFERROR(__xludf.DUMMYFUNCTION("""COMPUTED_VALUE"""),0.8030671296296297)</f>
        <v>0.8030671296</v>
      </c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</row>
    <row r="1971">
      <c r="A1971" s="12">
        <v>0.18</v>
      </c>
      <c r="B1971" s="12">
        <v>229.9</v>
      </c>
      <c r="C1971" s="12">
        <v>17.4</v>
      </c>
      <c r="D1971" s="12">
        <v>4.74</v>
      </c>
      <c r="E1971" s="12">
        <v>0.42</v>
      </c>
      <c r="F1971" s="12">
        <v>50.0</v>
      </c>
      <c r="G1971" s="13">
        <v>44462.80316501157</v>
      </c>
      <c r="H1971" s="14">
        <f>IFERROR(__xludf.DUMMYFUNCTION("SPLIT(G1971, "", "")"),44462.0)</f>
        <v>44462</v>
      </c>
      <c r="I1971" s="15">
        <f>IFERROR(__xludf.DUMMYFUNCTION("""COMPUTED_VALUE"""),0.8031597222222222)</f>
        <v>0.8031597222</v>
      </c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</row>
    <row r="1972">
      <c r="A1972" s="12">
        <v>0.18</v>
      </c>
      <c r="B1972" s="12">
        <v>229.8</v>
      </c>
      <c r="C1972" s="12">
        <v>17.3</v>
      </c>
      <c r="D1972" s="12">
        <v>4.74</v>
      </c>
      <c r="E1972" s="12">
        <v>0.41</v>
      </c>
      <c r="F1972" s="12">
        <v>50.0</v>
      </c>
      <c r="G1972" s="13">
        <v>44462.80326508102</v>
      </c>
      <c r="H1972" s="14">
        <f>IFERROR(__xludf.DUMMYFUNCTION("SPLIT(G1972, "", "")"),44462.0)</f>
        <v>44462</v>
      </c>
      <c r="I1972" s="15">
        <f>IFERROR(__xludf.DUMMYFUNCTION("""COMPUTED_VALUE"""),0.8032638888888889)</f>
        <v>0.8032638889</v>
      </c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</row>
    <row r="1973">
      <c r="A1973" s="12">
        <v>0.18</v>
      </c>
      <c r="B1973" s="12">
        <v>229.9</v>
      </c>
      <c r="C1973" s="12">
        <v>17.4</v>
      </c>
      <c r="D1973" s="12">
        <v>4.74</v>
      </c>
      <c r="E1973" s="12">
        <v>0.41</v>
      </c>
      <c r="F1973" s="12">
        <v>50.0</v>
      </c>
      <c r="G1973" s="13">
        <v>44462.80336532407</v>
      </c>
      <c r="H1973" s="14">
        <f>IFERROR(__xludf.DUMMYFUNCTION("SPLIT(G1973, "", "")"),44462.0)</f>
        <v>44462</v>
      </c>
      <c r="I1973" s="15">
        <f>IFERROR(__xludf.DUMMYFUNCTION("""COMPUTED_VALUE"""),0.8033680555555556)</f>
        <v>0.8033680556</v>
      </c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</row>
    <row r="1974">
      <c r="A1974" s="12">
        <v>0.18</v>
      </c>
      <c r="B1974" s="12">
        <v>229.8</v>
      </c>
      <c r="C1974" s="12">
        <v>17.3</v>
      </c>
      <c r="D1974" s="12">
        <v>4.74</v>
      </c>
      <c r="E1974" s="12">
        <v>0.41</v>
      </c>
      <c r="F1974" s="12">
        <v>50.0</v>
      </c>
      <c r="G1974" s="13">
        <v>44462.80346765046</v>
      </c>
      <c r="H1974" s="14">
        <f>IFERROR(__xludf.DUMMYFUNCTION("SPLIT(G1974, "", "")"),44462.0)</f>
        <v>44462</v>
      </c>
      <c r="I1974" s="15">
        <f>IFERROR(__xludf.DUMMYFUNCTION("""COMPUTED_VALUE"""),0.8034722222222223)</f>
        <v>0.8034722222</v>
      </c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</row>
    <row r="1975">
      <c r="A1975" s="12">
        <v>0.18</v>
      </c>
      <c r="B1975" s="12">
        <v>229.7</v>
      </c>
      <c r="C1975" s="12">
        <v>17.2</v>
      </c>
      <c r="D1975" s="12">
        <v>4.74</v>
      </c>
      <c r="E1975" s="12">
        <v>0.41</v>
      </c>
      <c r="F1975" s="12">
        <v>49.9</v>
      </c>
      <c r="G1975" s="13">
        <v>44462.803570185184</v>
      </c>
      <c r="H1975" s="14">
        <f>IFERROR(__xludf.DUMMYFUNCTION("SPLIT(G1975, "", "")"),44462.0)</f>
        <v>44462</v>
      </c>
      <c r="I1975" s="15">
        <f>IFERROR(__xludf.DUMMYFUNCTION("""COMPUTED_VALUE"""),0.8035648148148148)</f>
        <v>0.8035648148</v>
      </c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</row>
    <row r="1976">
      <c r="A1976" s="12">
        <v>0.18</v>
      </c>
      <c r="B1976" s="12">
        <v>229.6</v>
      </c>
      <c r="C1976" s="12">
        <v>17.1</v>
      </c>
      <c r="D1976" s="12">
        <v>4.74</v>
      </c>
      <c r="E1976" s="12">
        <v>0.41</v>
      </c>
      <c r="F1976" s="12">
        <v>50.0</v>
      </c>
      <c r="G1976" s="13">
        <v>44462.80367715278</v>
      </c>
      <c r="H1976" s="14">
        <f>IFERROR(__xludf.DUMMYFUNCTION("SPLIT(G1976, "", "")"),44462.0)</f>
        <v>44462</v>
      </c>
      <c r="I1976" s="15">
        <f>IFERROR(__xludf.DUMMYFUNCTION("""COMPUTED_VALUE"""),0.8036805555555555)</f>
        <v>0.8036805556</v>
      </c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</row>
    <row r="1977">
      <c r="A1977" s="12">
        <v>0.18</v>
      </c>
      <c r="B1977" s="12">
        <v>229.6</v>
      </c>
      <c r="C1977" s="12">
        <v>17.0</v>
      </c>
      <c r="D1977" s="12">
        <v>4.74</v>
      </c>
      <c r="E1977" s="12">
        <v>0.41</v>
      </c>
      <c r="F1977" s="12">
        <v>49.9</v>
      </c>
      <c r="G1977" s="13">
        <v>44462.803782303235</v>
      </c>
      <c r="H1977" s="14">
        <f>IFERROR(__xludf.DUMMYFUNCTION("SPLIT(G1977, "", "")"),44462.0)</f>
        <v>44462</v>
      </c>
      <c r="I1977" s="15">
        <f>IFERROR(__xludf.DUMMYFUNCTION("""COMPUTED_VALUE"""),0.8037847222222222)</f>
        <v>0.8037847222</v>
      </c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</row>
    <row r="1978">
      <c r="A1978" s="12">
        <v>0.18</v>
      </c>
      <c r="B1978" s="12">
        <v>229.7</v>
      </c>
      <c r="C1978" s="12">
        <v>17.0</v>
      </c>
      <c r="D1978" s="12">
        <v>4.74</v>
      </c>
      <c r="E1978" s="12">
        <v>0.41</v>
      </c>
      <c r="F1978" s="12">
        <v>50.0</v>
      </c>
      <c r="G1978" s="13">
        <v>44462.80388607639</v>
      </c>
      <c r="H1978" s="14">
        <f>IFERROR(__xludf.DUMMYFUNCTION("SPLIT(G1978, "", "")"),44462.0)</f>
        <v>44462</v>
      </c>
      <c r="I1978" s="15">
        <f>IFERROR(__xludf.DUMMYFUNCTION("""COMPUTED_VALUE"""),0.8038888888888889)</f>
        <v>0.8038888889</v>
      </c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</row>
    <row r="1979">
      <c r="A1979" s="12">
        <v>0.18</v>
      </c>
      <c r="B1979" s="12">
        <v>229.6</v>
      </c>
      <c r="C1979" s="12">
        <v>16.8</v>
      </c>
      <c r="D1979" s="12">
        <v>4.74</v>
      </c>
      <c r="E1979" s="12">
        <v>0.41</v>
      </c>
      <c r="F1979" s="12">
        <v>49.9</v>
      </c>
      <c r="G1979" s="13">
        <v>44462.803990625005</v>
      </c>
      <c r="H1979" s="14">
        <f>IFERROR(__xludf.DUMMYFUNCTION("SPLIT(G1979, "", "")"),44462.0)</f>
        <v>44462</v>
      </c>
      <c r="I1979" s="15">
        <f>IFERROR(__xludf.DUMMYFUNCTION("""COMPUTED_VALUE"""),0.8039930555555556)</f>
        <v>0.8039930556</v>
      </c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</row>
    <row r="1980">
      <c r="A1980" s="12">
        <v>0.18</v>
      </c>
      <c r="B1980" s="12">
        <v>229.7</v>
      </c>
      <c r="C1980" s="12">
        <v>16.9</v>
      </c>
      <c r="D1980" s="12">
        <v>4.74</v>
      </c>
      <c r="E1980" s="12">
        <v>0.41</v>
      </c>
      <c r="F1980" s="12">
        <v>49.9</v>
      </c>
      <c r="G1980" s="13">
        <v>44462.80409854167</v>
      </c>
      <c r="H1980" s="14">
        <f>IFERROR(__xludf.DUMMYFUNCTION("SPLIT(G1980, "", "")"),44462.0)</f>
        <v>44462</v>
      </c>
      <c r="I1980" s="15">
        <f>IFERROR(__xludf.DUMMYFUNCTION("""COMPUTED_VALUE"""),0.8040972222222222)</f>
        <v>0.8040972222</v>
      </c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</row>
    <row r="1981">
      <c r="A1981" s="12">
        <v>0.18</v>
      </c>
      <c r="B1981" s="12">
        <v>229.4</v>
      </c>
      <c r="C1981" s="12">
        <v>16.6</v>
      </c>
      <c r="D1981" s="12">
        <v>4.74</v>
      </c>
      <c r="E1981" s="12">
        <v>0.41</v>
      </c>
      <c r="F1981" s="12">
        <v>49.9</v>
      </c>
      <c r="G1981" s="13">
        <v>44462.80420568287</v>
      </c>
      <c r="H1981" s="14">
        <f>IFERROR(__xludf.DUMMYFUNCTION("SPLIT(G1981, "", "")"),44462.0)</f>
        <v>44462</v>
      </c>
      <c r="I1981" s="15">
        <f>IFERROR(__xludf.DUMMYFUNCTION("""COMPUTED_VALUE"""),0.8042013888888889)</f>
        <v>0.8042013889</v>
      </c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</row>
    <row r="1982">
      <c r="A1982" s="12">
        <v>0.18</v>
      </c>
      <c r="B1982" s="12">
        <v>229.3</v>
      </c>
      <c r="C1982" s="12">
        <v>16.6</v>
      </c>
      <c r="D1982" s="12">
        <v>4.74</v>
      </c>
      <c r="E1982" s="12">
        <v>0.41</v>
      </c>
      <c r="F1982" s="12">
        <v>49.9</v>
      </c>
      <c r="G1982" s="13">
        <v>44462.80430578704</v>
      </c>
      <c r="H1982" s="14">
        <f>IFERROR(__xludf.DUMMYFUNCTION("SPLIT(G1982, "", "")"),44462.0)</f>
        <v>44462</v>
      </c>
      <c r="I1982" s="15">
        <f>IFERROR(__xludf.DUMMYFUNCTION("""COMPUTED_VALUE"""),0.8043055555555556)</f>
        <v>0.8043055556</v>
      </c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</row>
    <row r="1983">
      <c r="A1983" s="12">
        <v>0.18</v>
      </c>
      <c r="B1983" s="12">
        <v>229.4</v>
      </c>
      <c r="C1983" s="12">
        <v>16.6</v>
      </c>
      <c r="D1983" s="12">
        <v>4.74</v>
      </c>
      <c r="E1983" s="12">
        <v>0.41</v>
      </c>
      <c r="F1983" s="12">
        <v>49.9</v>
      </c>
      <c r="G1983" s="13">
        <v>44462.804409108794</v>
      </c>
      <c r="H1983" s="14">
        <f>IFERROR(__xludf.DUMMYFUNCTION("SPLIT(G1983, "", "")"),44462.0)</f>
        <v>44462</v>
      </c>
      <c r="I1983" s="15">
        <f>IFERROR(__xludf.DUMMYFUNCTION("""COMPUTED_VALUE"""),0.8044097222222222)</f>
        <v>0.8044097222</v>
      </c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</row>
    <row r="1984">
      <c r="A1984" s="12">
        <v>0.18</v>
      </c>
      <c r="B1984" s="12">
        <v>229.5</v>
      </c>
      <c r="C1984" s="12">
        <v>16.6</v>
      </c>
      <c r="D1984" s="12">
        <v>4.74</v>
      </c>
      <c r="E1984" s="12">
        <v>0.41</v>
      </c>
      <c r="F1984" s="12">
        <v>50.0</v>
      </c>
      <c r="G1984" s="13">
        <v>44462.80451565972</v>
      </c>
      <c r="H1984" s="14">
        <f>IFERROR(__xludf.DUMMYFUNCTION("SPLIT(G1984, "", "")"),44462.0)</f>
        <v>44462</v>
      </c>
      <c r="I1984" s="15">
        <f>IFERROR(__xludf.DUMMYFUNCTION("""COMPUTED_VALUE"""),0.8045138888888889)</f>
        <v>0.8045138889</v>
      </c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</row>
    <row r="1985">
      <c r="A1985" s="12">
        <v>0.18</v>
      </c>
      <c r="B1985" s="12">
        <v>229.6</v>
      </c>
      <c r="C1985" s="12">
        <v>16.7</v>
      </c>
      <c r="D1985" s="12">
        <v>4.74</v>
      </c>
      <c r="E1985" s="12">
        <v>0.41</v>
      </c>
      <c r="F1985" s="12">
        <v>50.0</v>
      </c>
      <c r="G1985" s="13">
        <v>44462.804614953704</v>
      </c>
      <c r="H1985" s="14">
        <f>IFERROR(__xludf.DUMMYFUNCTION("SPLIT(G1985, "", "")"),44462.0)</f>
        <v>44462</v>
      </c>
      <c r="I1985" s="15">
        <f>IFERROR(__xludf.DUMMYFUNCTION("""COMPUTED_VALUE"""),0.8046180555555555)</f>
        <v>0.8046180556</v>
      </c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</row>
    <row r="1986">
      <c r="A1986" s="12">
        <v>0.18</v>
      </c>
      <c r="B1986" s="12">
        <v>229.7</v>
      </c>
      <c r="C1986" s="12">
        <v>16.8</v>
      </c>
      <c r="D1986" s="12">
        <v>4.74</v>
      </c>
      <c r="E1986" s="12">
        <v>0.41</v>
      </c>
      <c r="F1986" s="12">
        <v>50.0</v>
      </c>
      <c r="G1986" s="13">
        <v>44462.804719340274</v>
      </c>
      <c r="H1986" s="14">
        <f>IFERROR(__xludf.DUMMYFUNCTION("SPLIT(G1986, "", "")"),44462.0)</f>
        <v>44462</v>
      </c>
      <c r="I1986" s="15">
        <f>IFERROR(__xludf.DUMMYFUNCTION("""COMPUTED_VALUE"""),0.8047222222222222)</f>
        <v>0.8047222222</v>
      </c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</row>
    <row r="1987">
      <c r="A1987" s="12">
        <v>0.18</v>
      </c>
      <c r="B1987" s="12">
        <v>229.7</v>
      </c>
      <c r="C1987" s="12">
        <v>16.9</v>
      </c>
      <c r="D1987" s="12">
        <v>4.74</v>
      </c>
      <c r="E1987" s="12">
        <v>0.41</v>
      </c>
      <c r="F1987" s="12">
        <v>50.0</v>
      </c>
      <c r="G1987" s="13">
        <v>44462.80482560185</v>
      </c>
      <c r="H1987" s="14">
        <f>IFERROR(__xludf.DUMMYFUNCTION("SPLIT(G1987, "", "")"),44462.0)</f>
        <v>44462</v>
      </c>
      <c r="I1987" s="15">
        <f>IFERROR(__xludf.DUMMYFUNCTION("""COMPUTED_VALUE"""),0.8048263888888889)</f>
        <v>0.8048263889</v>
      </c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</row>
    <row r="1988">
      <c r="A1988" s="12">
        <v>0.18</v>
      </c>
      <c r="B1988" s="12">
        <v>229.6</v>
      </c>
      <c r="C1988" s="12">
        <v>16.8</v>
      </c>
      <c r="D1988" s="12">
        <v>4.74</v>
      </c>
      <c r="E1988" s="12">
        <v>0.41</v>
      </c>
      <c r="F1988" s="12">
        <v>50.0</v>
      </c>
      <c r="G1988" s="13">
        <v>44462.80492894676</v>
      </c>
      <c r="H1988" s="14">
        <f>IFERROR(__xludf.DUMMYFUNCTION("SPLIT(G1988, "", "")"),44462.0)</f>
        <v>44462</v>
      </c>
      <c r="I1988" s="15">
        <f>IFERROR(__xludf.DUMMYFUNCTION("""COMPUTED_VALUE"""),0.8049305555555556)</f>
        <v>0.8049305556</v>
      </c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</row>
    <row r="1989">
      <c r="A1989" s="12">
        <v>0.18</v>
      </c>
      <c r="B1989" s="12">
        <v>229.7</v>
      </c>
      <c r="C1989" s="12">
        <v>16.7</v>
      </c>
      <c r="D1989" s="12">
        <v>4.74</v>
      </c>
      <c r="E1989" s="12">
        <v>0.41</v>
      </c>
      <c r="F1989" s="12">
        <v>50.0</v>
      </c>
      <c r="G1989" s="13">
        <v>44462.80504486111</v>
      </c>
      <c r="H1989" s="14">
        <f>IFERROR(__xludf.DUMMYFUNCTION("SPLIT(G1989, "", "")"),44462.0)</f>
        <v>44462</v>
      </c>
      <c r="I1989" s="15">
        <f>IFERROR(__xludf.DUMMYFUNCTION("""COMPUTED_VALUE"""),0.8050462962962963)</f>
        <v>0.8050462963</v>
      </c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</row>
    <row r="1990">
      <c r="A1990" s="12">
        <v>0.18</v>
      </c>
      <c r="B1990" s="12">
        <v>229.6</v>
      </c>
      <c r="C1990" s="12">
        <v>16.6</v>
      </c>
      <c r="D1990" s="12">
        <v>4.74</v>
      </c>
      <c r="E1990" s="12">
        <v>0.41</v>
      </c>
      <c r="F1990" s="12">
        <v>50.0</v>
      </c>
      <c r="G1990" s="13">
        <v>44462.80514996528</v>
      </c>
      <c r="H1990" s="14">
        <f>IFERROR(__xludf.DUMMYFUNCTION("SPLIT(G1990, "", "")"),44462.0)</f>
        <v>44462</v>
      </c>
      <c r="I1990" s="15">
        <f>IFERROR(__xludf.DUMMYFUNCTION("""COMPUTED_VALUE"""),0.805150462962963)</f>
        <v>0.805150463</v>
      </c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</row>
    <row r="1991">
      <c r="A1991" s="12">
        <v>0.18</v>
      </c>
      <c r="B1991" s="12">
        <v>229.6</v>
      </c>
      <c r="C1991" s="12">
        <v>16.6</v>
      </c>
      <c r="D1991" s="12">
        <v>4.74</v>
      </c>
      <c r="E1991" s="12">
        <v>0.41</v>
      </c>
      <c r="F1991" s="12">
        <v>50.0</v>
      </c>
      <c r="G1991" s="13">
        <v>44462.80524884259</v>
      </c>
      <c r="H1991" s="14">
        <f>IFERROR(__xludf.DUMMYFUNCTION("SPLIT(G1991, "", "")"),44462.0)</f>
        <v>44462</v>
      </c>
      <c r="I1991" s="15">
        <f>IFERROR(__xludf.DUMMYFUNCTION("""COMPUTED_VALUE"""),0.8052546296296297)</f>
        <v>0.8052546296</v>
      </c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</row>
    <row r="1992">
      <c r="A1992" s="12">
        <v>0.18</v>
      </c>
      <c r="B1992" s="12">
        <v>229.6</v>
      </c>
      <c r="C1992" s="12">
        <v>16.7</v>
      </c>
      <c r="D1992" s="12">
        <v>4.74</v>
      </c>
      <c r="E1992" s="12">
        <v>0.41</v>
      </c>
      <c r="F1992" s="12">
        <v>50.0</v>
      </c>
      <c r="G1992" s="13">
        <v>44462.80535148148</v>
      </c>
      <c r="H1992" s="14">
        <f>IFERROR(__xludf.DUMMYFUNCTION("SPLIT(G1992, "", "")"),44462.0)</f>
        <v>44462</v>
      </c>
      <c r="I1992" s="15">
        <f>IFERROR(__xludf.DUMMYFUNCTION("""COMPUTED_VALUE"""),0.8053472222222222)</f>
        <v>0.8053472222</v>
      </c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</row>
    <row r="1993">
      <c r="A1993" s="12">
        <v>0.18</v>
      </c>
      <c r="B1993" s="12">
        <v>229.6</v>
      </c>
      <c r="C1993" s="12">
        <v>16.6</v>
      </c>
      <c r="D1993" s="12">
        <v>4.74</v>
      </c>
      <c r="E1993" s="12">
        <v>0.41</v>
      </c>
      <c r="F1993" s="12">
        <v>50.0</v>
      </c>
      <c r="G1993" s="13">
        <v>44462.805461446755</v>
      </c>
      <c r="H1993" s="14">
        <f>IFERROR(__xludf.DUMMYFUNCTION("SPLIT(G1993, "", "")"),44462.0)</f>
        <v>44462</v>
      </c>
      <c r="I1993" s="15">
        <f>IFERROR(__xludf.DUMMYFUNCTION("""COMPUTED_VALUE"""),0.8054629629629629)</f>
        <v>0.805462963</v>
      </c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</row>
    <row r="1994">
      <c r="A1994" s="12">
        <v>0.18</v>
      </c>
      <c r="B1994" s="12">
        <v>229.7</v>
      </c>
      <c r="C1994" s="12">
        <v>16.6</v>
      </c>
      <c r="D1994" s="12">
        <v>4.74</v>
      </c>
      <c r="E1994" s="12">
        <v>0.41</v>
      </c>
      <c r="F1994" s="12">
        <v>50.0</v>
      </c>
      <c r="G1994" s="13">
        <v>44462.80556700232</v>
      </c>
      <c r="H1994" s="14">
        <f>IFERROR(__xludf.DUMMYFUNCTION("SPLIT(G1994, "", "")"),44462.0)</f>
        <v>44462</v>
      </c>
      <c r="I1994" s="15">
        <f>IFERROR(__xludf.DUMMYFUNCTION("""COMPUTED_VALUE"""),0.8055671296296296)</f>
        <v>0.8055671296</v>
      </c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</row>
    <row r="1995">
      <c r="A1995" s="12">
        <v>0.18</v>
      </c>
      <c r="B1995" s="12">
        <v>229.6</v>
      </c>
      <c r="C1995" s="12">
        <v>16.6</v>
      </c>
      <c r="D1995" s="12">
        <v>4.74</v>
      </c>
      <c r="E1995" s="12">
        <v>0.41</v>
      </c>
      <c r="F1995" s="12">
        <v>50.0</v>
      </c>
      <c r="G1995" s="13">
        <v>44462.805667650464</v>
      </c>
      <c r="H1995" s="14">
        <f>IFERROR(__xludf.DUMMYFUNCTION("SPLIT(G1995, "", "")"),44462.0)</f>
        <v>44462</v>
      </c>
      <c r="I1995" s="15">
        <f>IFERROR(__xludf.DUMMYFUNCTION("""COMPUTED_VALUE"""),0.8056712962962963)</f>
        <v>0.8056712963</v>
      </c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</row>
    <row r="1996">
      <c r="A1996" s="12">
        <v>0.18</v>
      </c>
      <c r="B1996" s="12">
        <v>229.5</v>
      </c>
      <c r="C1996" s="12">
        <v>16.4</v>
      </c>
      <c r="D1996" s="12">
        <v>4.74</v>
      </c>
      <c r="E1996" s="12">
        <v>0.4</v>
      </c>
      <c r="F1996" s="12">
        <v>50.0</v>
      </c>
      <c r="G1996" s="13">
        <v>44462.80577020833</v>
      </c>
      <c r="H1996" s="14">
        <f>IFERROR(__xludf.DUMMYFUNCTION("SPLIT(G1996, "", "")"),44462.0)</f>
        <v>44462</v>
      </c>
      <c r="I1996" s="15">
        <f>IFERROR(__xludf.DUMMYFUNCTION("""COMPUTED_VALUE"""),0.805775462962963)</f>
        <v>0.805775463</v>
      </c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</row>
    <row r="1997">
      <c r="A1997" s="12">
        <v>0.18</v>
      </c>
      <c r="B1997" s="12">
        <v>229.9</v>
      </c>
      <c r="C1997" s="12">
        <v>16.7</v>
      </c>
      <c r="D1997" s="12">
        <v>4.74</v>
      </c>
      <c r="E1997" s="12">
        <v>0.41</v>
      </c>
      <c r="F1997" s="12">
        <v>50.0</v>
      </c>
      <c r="G1997" s="13">
        <v>44462.805872847224</v>
      </c>
      <c r="H1997" s="14">
        <f>IFERROR(__xludf.DUMMYFUNCTION("SPLIT(G1997, "", "")"),44462.0)</f>
        <v>44462</v>
      </c>
      <c r="I1997" s="15">
        <f>IFERROR(__xludf.DUMMYFUNCTION("""COMPUTED_VALUE"""),0.8058680555555555)</f>
        <v>0.8058680556</v>
      </c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</row>
    <row r="1998">
      <c r="A1998" s="12">
        <v>0.17</v>
      </c>
      <c r="B1998" s="12">
        <v>229.8</v>
      </c>
      <c r="C1998" s="12">
        <v>16.5</v>
      </c>
      <c r="D1998" s="12">
        <v>4.74</v>
      </c>
      <c r="E1998" s="12">
        <v>0.41</v>
      </c>
      <c r="F1998" s="12">
        <v>50.0</v>
      </c>
      <c r="G1998" s="13">
        <v>44462.805976874995</v>
      </c>
      <c r="H1998" s="14">
        <f>IFERROR(__xludf.DUMMYFUNCTION("SPLIT(G1998, "", "")"),44462.0)</f>
        <v>44462</v>
      </c>
      <c r="I1998" s="15">
        <f>IFERROR(__xludf.DUMMYFUNCTION("""COMPUTED_VALUE"""),0.8059722222222222)</f>
        <v>0.8059722222</v>
      </c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</row>
    <row r="1999">
      <c r="A1999" s="12">
        <v>0.18</v>
      </c>
      <c r="B1999" s="12">
        <v>229.9</v>
      </c>
      <c r="C1999" s="12">
        <v>16.7</v>
      </c>
      <c r="D1999" s="12">
        <v>4.74</v>
      </c>
      <c r="E1999" s="12">
        <v>0.41</v>
      </c>
      <c r="F1999" s="12">
        <v>50.0</v>
      </c>
      <c r="G1999" s="13">
        <v>44462.80608377315</v>
      </c>
      <c r="H1999" s="14">
        <f>IFERROR(__xludf.DUMMYFUNCTION("SPLIT(G1999, "", "")"),44462.0)</f>
        <v>44462</v>
      </c>
      <c r="I1999" s="15">
        <f>IFERROR(__xludf.DUMMYFUNCTION("""COMPUTED_VALUE"""),0.8060879629629629)</f>
        <v>0.806087963</v>
      </c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</row>
    <row r="2000">
      <c r="A2000" s="12">
        <v>0.18</v>
      </c>
      <c r="B2000" s="12">
        <v>229.9</v>
      </c>
      <c r="C2000" s="12">
        <v>16.6</v>
      </c>
      <c r="D2000" s="12">
        <v>4.74</v>
      </c>
      <c r="E2000" s="12">
        <v>0.41</v>
      </c>
      <c r="F2000" s="12">
        <v>50.0</v>
      </c>
      <c r="G2000" s="13">
        <v>44462.80618496527</v>
      </c>
      <c r="H2000" s="14">
        <f>IFERROR(__xludf.DUMMYFUNCTION("SPLIT(G2000, "", "")"),44462.0)</f>
        <v>44462</v>
      </c>
      <c r="I2000" s="15">
        <f>IFERROR(__xludf.DUMMYFUNCTION("""COMPUTED_VALUE"""),0.8061805555555556)</f>
        <v>0.8061805556</v>
      </c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</row>
    <row r="2001">
      <c r="A2001" s="12">
        <v>0.17</v>
      </c>
      <c r="B2001" s="12">
        <v>229.8</v>
      </c>
      <c r="C2001" s="12">
        <v>16.5</v>
      </c>
      <c r="D2001" s="12">
        <v>4.74</v>
      </c>
      <c r="E2001" s="12">
        <v>0.41</v>
      </c>
      <c r="F2001" s="12">
        <v>50.0</v>
      </c>
      <c r="G2001" s="13">
        <v>44462.80629408565</v>
      </c>
      <c r="H2001" s="14">
        <f>IFERROR(__xludf.DUMMYFUNCTION("SPLIT(G2001, "", "")"),44462.0)</f>
        <v>44462</v>
      </c>
      <c r="I2001" s="15">
        <f>IFERROR(__xludf.DUMMYFUNCTION("""COMPUTED_VALUE"""),0.8062962962962963)</f>
        <v>0.8062962963</v>
      </c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</row>
    <row r="2002">
      <c r="A2002" s="12">
        <v>0.18</v>
      </c>
      <c r="B2002" s="12">
        <v>229.7</v>
      </c>
      <c r="C2002" s="12">
        <v>16.4</v>
      </c>
      <c r="D2002" s="12">
        <v>4.74</v>
      </c>
      <c r="E2002" s="12">
        <v>0.41</v>
      </c>
      <c r="F2002" s="12">
        <v>50.0</v>
      </c>
      <c r="G2002" s="13">
        <v>44462.806402685186</v>
      </c>
      <c r="H2002" s="14">
        <f>IFERROR(__xludf.DUMMYFUNCTION("SPLIT(G2002, "", "")"),44462.0)</f>
        <v>44462</v>
      </c>
      <c r="I2002" s="15">
        <f>IFERROR(__xludf.DUMMYFUNCTION("""COMPUTED_VALUE"""),0.806400462962963)</f>
        <v>0.806400463</v>
      </c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</row>
    <row r="2003">
      <c r="A2003" s="12">
        <v>0.17</v>
      </c>
      <c r="B2003" s="12">
        <v>229.7</v>
      </c>
      <c r="C2003" s="12">
        <v>16.4</v>
      </c>
      <c r="D2003" s="12">
        <v>4.74</v>
      </c>
      <c r="E2003" s="12">
        <v>0.41</v>
      </c>
      <c r="F2003" s="12">
        <v>50.0</v>
      </c>
      <c r="G2003" s="13">
        <v>44462.806506747685</v>
      </c>
      <c r="H2003" s="14">
        <f>IFERROR(__xludf.DUMMYFUNCTION("SPLIT(G2003, "", "")"),44462.0)</f>
        <v>44462</v>
      </c>
      <c r="I2003" s="15">
        <f>IFERROR(__xludf.DUMMYFUNCTION("""COMPUTED_VALUE"""),0.8065046296296297)</f>
        <v>0.8065046296</v>
      </c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</row>
    <row r="2004">
      <c r="A2004" s="12">
        <v>0.17</v>
      </c>
      <c r="B2004" s="12">
        <v>229.7</v>
      </c>
      <c r="C2004" s="12">
        <v>16.3</v>
      </c>
      <c r="D2004" s="12">
        <v>4.74</v>
      </c>
      <c r="E2004" s="12">
        <v>0.41</v>
      </c>
      <c r="F2004" s="12">
        <v>50.0</v>
      </c>
      <c r="G2004" s="13">
        <v>44462.80661244213</v>
      </c>
      <c r="H2004" s="14">
        <f>IFERROR(__xludf.DUMMYFUNCTION("SPLIT(G2004, "", "")"),44462.0)</f>
        <v>44462</v>
      </c>
      <c r="I2004" s="15">
        <f>IFERROR(__xludf.DUMMYFUNCTION("""COMPUTED_VALUE"""),0.8066087962962963)</f>
        <v>0.8066087963</v>
      </c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</row>
    <row r="2005">
      <c r="A2005" s="12">
        <v>0.18</v>
      </c>
      <c r="B2005" s="12">
        <v>229.7</v>
      </c>
      <c r="C2005" s="12">
        <v>16.3</v>
      </c>
      <c r="D2005" s="12">
        <v>4.74</v>
      </c>
      <c r="E2005" s="12">
        <v>0.4</v>
      </c>
      <c r="F2005" s="12">
        <v>50.0</v>
      </c>
      <c r="G2005" s="13">
        <v>44462.80671078704</v>
      </c>
      <c r="H2005" s="14">
        <f>IFERROR(__xludf.DUMMYFUNCTION("SPLIT(G2005, "", "")"),44462.0)</f>
        <v>44462</v>
      </c>
      <c r="I2005" s="15">
        <f>IFERROR(__xludf.DUMMYFUNCTION("""COMPUTED_VALUE"""),0.8067129629629629)</f>
        <v>0.806712963</v>
      </c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</row>
    <row r="2006">
      <c r="A2006" s="12">
        <v>0.17</v>
      </c>
      <c r="B2006" s="12">
        <v>229.6</v>
      </c>
      <c r="C2006" s="12">
        <v>16.1</v>
      </c>
      <c r="D2006" s="12">
        <v>4.74</v>
      </c>
      <c r="E2006" s="12">
        <v>0.41</v>
      </c>
      <c r="F2006" s="12">
        <v>50.0</v>
      </c>
      <c r="G2006" s="13">
        <v>44462.80681739583</v>
      </c>
      <c r="H2006" s="14">
        <f>IFERROR(__xludf.DUMMYFUNCTION("SPLIT(G2006, "", "")"),44462.0)</f>
        <v>44462</v>
      </c>
      <c r="I2006" s="15">
        <f>IFERROR(__xludf.DUMMYFUNCTION("""COMPUTED_VALUE"""),0.8068171296296296)</f>
        <v>0.8068171296</v>
      </c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</row>
    <row r="2007">
      <c r="A2007" s="12">
        <v>0.17</v>
      </c>
      <c r="B2007" s="12">
        <v>229.6</v>
      </c>
      <c r="C2007" s="12">
        <v>16.1</v>
      </c>
      <c r="D2007" s="12">
        <v>4.74</v>
      </c>
      <c r="E2007" s="12">
        <v>0.41</v>
      </c>
      <c r="F2007" s="12">
        <v>49.9</v>
      </c>
      <c r="G2007" s="13">
        <v>44462.806922696764</v>
      </c>
      <c r="H2007" s="14">
        <f>IFERROR(__xludf.DUMMYFUNCTION("SPLIT(G2007, "", "")"),44462.0)</f>
        <v>44462</v>
      </c>
      <c r="I2007" s="15">
        <f>IFERROR(__xludf.DUMMYFUNCTION("""COMPUTED_VALUE"""),0.8069212962962963)</f>
        <v>0.8069212963</v>
      </c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</row>
    <row r="2008">
      <c r="A2008" s="12">
        <v>0.17</v>
      </c>
      <c r="B2008" s="12">
        <v>229.6</v>
      </c>
      <c r="C2008" s="12">
        <v>16.0</v>
      </c>
      <c r="D2008" s="12">
        <v>4.74</v>
      </c>
      <c r="E2008" s="12">
        <v>0.4</v>
      </c>
      <c r="F2008" s="12">
        <v>50.0</v>
      </c>
      <c r="G2008" s="13">
        <v>44462.80757200232</v>
      </c>
      <c r="H2008" s="14">
        <f>IFERROR(__xludf.DUMMYFUNCTION("SPLIT(G2008, "", "")"),44462.0)</f>
        <v>44462</v>
      </c>
      <c r="I2008" s="15">
        <f>IFERROR(__xludf.DUMMYFUNCTION("""COMPUTED_VALUE"""),0.8075694444444445)</f>
        <v>0.8075694444</v>
      </c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</row>
    <row r="2009">
      <c r="A2009" s="12">
        <v>0.18</v>
      </c>
      <c r="B2009" s="12">
        <v>228.7</v>
      </c>
      <c r="C2009" s="12">
        <v>13.6</v>
      </c>
      <c r="D2009" s="12">
        <v>4.74</v>
      </c>
      <c r="E2009" s="12">
        <v>0.34</v>
      </c>
      <c r="F2009" s="12">
        <v>50.0</v>
      </c>
      <c r="G2009" s="13">
        <v>44462.80809011574</v>
      </c>
      <c r="H2009" s="14">
        <f>IFERROR(__xludf.DUMMYFUNCTION("SPLIT(G2009, "", "")"),44462.0)</f>
        <v>44462</v>
      </c>
      <c r="I2009" s="15">
        <f>IFERROR(__xludf.DUMMYFUNCTION("""COMPUTED_VALUE"""),0.8080902777777778)</f>
        <v>0.8080902778</v>
      </c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</row>
    <row r="2010">
      <c r="A2010" s="12">
        <v>0.18</v>
      </c>
      <c r="B2010" s="12">
        <v>228.6</v>
      </c>
      <c r="C2010" s="12">
        <v>13.5</v>
      </c>
      <c r="D2010" s="12">
        <v>4.74</v>
      </c>
      <c r="E2010" s="12">
        <v>0.33</v>
      </c>
      <c r="F2010" s="12">
        <v>50.0</v>
      </c>
      <c r="G2010" s="13">
        <v>44462.80818986111</v>
      </c>
      <c r="H2010" s="14">
        <f>IFERROR(__xludf.DUMMYFUNCTION("SPLIT(G2010, "", "")"),44462.0)</f>
        <v>44462</v>
      </c>
      <c r="I2010" s="15">
        <f>IFERROR(__xludf.DUMMYFUNCTION("""COMPUTED_VALUE"""),0.8081944444444444)</f>
        <v>0.8081944444</v>
      </c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</row>
    <row r="2011">
      <c r="A2011" s="12">
        <v>0.18</v>
      </c>
      <c r="B2011" s="12">
        <v>228.5</v>
      </c>
      <c r="C2011" s="12">
        <v>13.4</v>
      </c>
      <c r="D2011" s="12">
        <v>4.74</v>
      </c>
      <c r="E2011" s="12">
        <v>0.33</v>
      </c>
      <c r="F2011" s="12">
        <v>50.0</v>
      </c>
      <c r="G2011" s="13">
        <v>44462.808290243054</v>
      </c>
      <c r="H2011" s="14">
        <f>IFERROR(__xludf.DUMMYFUNCTION("SPLIT(G2011, "", "")"),44462.0)</f>
        <v>44462</v>
      </c>
      <c r="I2011" s="15">
        <f>IFERROR(__xludf.DUMMYFUNCTION("""COMPUTED_VALUE"""),0.8082870370370371)</f>
        <v>0.808287037</v>
      </c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</row>
    <row r="2012">
      <c r="A2012" s="12">
        <v>0.18</v>
      </c>
      <c r="B2012" s="12">
        <v>228.5</v>
      </c>
      <c r="C2012" s="12">
        <v>13.4</v>
      </c>
      <c r="D2012" s="12">
        <v>4.74</v>
      </c>
      <c r="E2012" s="12">
        <v>0.33</v>
      </c>
      <c r="F2012" s="12">
        <v>50.0</v>
      </c>
      <c r="G2012" s="13">
        <v>44462.808393680556</v>
      </c>
      <c r="H2012" s="14">
        <f>IFERROR(__xludf.DUMMYFUNCTION("SPLIT(G2012, "", "")"),44462.0)</f>
        <v>44462</v>
      </c>
      <c r="I2012" s="15">
        <f>IFERROR(__xludf.DUMMYFUNCTION("""COMPUTED_VALUE"""),0.8083912037037037)</f>
        <v>0.8083912037</v>
      </c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</row>
    <row r="2013">
      <c r="A2013" s="12">
        <v>0.18</v>
      </c>
      <c r="B2013" s="12">
        <v>228.5</v>
      </c>
      <c r="C2013" s="12">
        <v>13.4</v>
      </c>
      <c r="D2013" s="12">
        <v>4.74</v>
      </c>
      <c r="E2013" s="12">
        <v>0.33</v>
      </c>
      <c r="F2013" s="12">
        <v>50.0</v>
      </c>
      <c r="G2013" s="13">
        <v>44462.80850175926</v>
      </c>
      <c r="H2013" s="14">
        <f>IFERROR(__xludf.DUMMYFUNCTION("SPLIT(G2013, "", "")"),44462.0)</f>
        <v>44462</v>
      </c>
      <c r="I2013" s="15">
        <f>IFERROR(__xludf.DUMMYFUNCTION("""COMPUTED_VALUE"""),0.8085069444444445)</f>
        <v>0.8085069444</v>
      </c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</row>
    <row r="2014">
      <c r="A2014" s="12">
        <v>0.18</v>
      </c>
      <c r="B2014" s="12">
        <v>228.4</v>
      </c>
      <c r="C2014" s="12">
        <v>13.4</v>
      </c>
      <c r="D2014" s="12">
        <v>4.74</v>
      </c>
      <c r="E2014" s="12">
        <v>0.33</v>
      </c>
      <c r="F2014" s="12">
        <v>49.9</v>
      </c>
      <c r="G2014" s="13">
        <v>44462.808613229165</v>
      </c>
      <c r="H2014" s="14">
        <f>IFERROR(__xludf.DUMMYFUNCTION("SPLIT(G2014, "", "")"),44462.0)</f>
        <v>44462</v>
      </c>
      <c r="I2014" s="15">
        <f>IFERROR(__xludf.DUMMYFUNCTION("""COMPUTED_VALUE"""),0.8086111111111111)</f>
        <v>0.8086111111</v>
      </c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</row>
    <row r="2015">
      <c r="A2015" s="12">
        <v>0.17</v>
      </c>
      <c r="B2015" s="12">
        <v>228.5</v>
      </c>
      <c r="C2015" s="12">
        <v>13.4</v>
      </c>
      <c r="D2015" s="12">
        <v>4.74</v>
      </c>
      <c r="E2015" s="12">
        <v>0.34</v>
      </c>
      <c r="F2015" s="12">
        <v>50.0</v>
      </c>
      <c r="G2015" s="13">
        <v>44462.808717893524</v>
      </c>
      <c r="H2015" s="14">
        <f>IFERROR(__xludf.DUMMYFUNCTION("SPLIT(G2015, "", "")"),44462.0)</f>
        <v>44462</v>
      </c>
      <c r="I2015" s="15">
        <f>IFERROR(__xludf.DUMMYFUNCTION("""COMPUTED_VALUE"""),0.8087152777777777)</f>
        <v>0.8087152778</v>
      </c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</row>
    <row r="2016">
      <c r="A2016" s="12">
        <v>0.18</v>
      </c>
      <c r="B2016" s="12">
        <v>228.4</v>
      </c>
      <c r="C2016" s="12">
        <v>13.4</v>
      </c>
      <c r="D2016" s="12">
        <v>4.74</v>
      </c>
      <c r="E2016" s="12">
        <v>0.33</v>
      </c>
      <c r="F2016" s="12">
        <v>50.0</v>
      </c>
      <c r="G2016" s="13">
        <v>44462.80882130787</v>
      </c>
      <c r="H2016" s="14">
        <f>IFERROR(__xludf.DUMMYFUNCTION("SPLIT(G2016, "", "")"),44462.0)</f>
        <v>44462</v>
      </c>
      <c r="I2016" s="15">
        <f>IFERROR(__xludf.DUMMYFUNCTION("""COMPUTED_VALUE"""),0.8088194444444444)</f>
        <v>0.8088194444</v>
      </c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</row>
    <row r="2017">
      <c r="A2017" s="12">
        <v>0.18</v>
      </c>
      <c r="B2017" s="12">
        <v>228.4</v>
      </c>
      <c r="C2017" s="12">
        <v>13.4</v>
      </c>
      <c r="D2017" s="12">
        <v>4.74</v>
      </c>
      <c r="E2017" s="12">
        <v>0.33</v>
      </c>
      <c r="F2017" s="12">
        <v>50.0</v>
      </c>
      <c r="G2017" s="13">
        <v>44462.80892438657</v>
      </c>
      <c r="H2017" s="14">
        <f>IFERROR(__xludf.DUMMYFUNCTION("SPLIT(G2017, "", "")"),44462.0)</f>
        <v>44462</v>
      </c>
      <c r="I2017" s="15">
        <f>IFERROR(__xludf.DUMMYFUNCTION("""COMPUTED_VALUE"""),0.8089236111111111)</f>
        <v>0.8089236111</v>
      </c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</row>
    <row r="2018">
      <c r="A2018" s="12">
        <v>0.17</v>
      </c>
      <c r="B2018" s="12">
        <v>229.8</v>
      </c>
      <c r="C2018" s="12">
        <v>16.0</v>
      </c>
      <c r="D2018" s="12">
        <v>4.74</v>
      </c>
      <c r="E2018" s="12">
        <v>0.41</v>
      </c>
      <c r="F2018" s="12">
        <v>50.0</v>
      </c>
      <c r="G2018" s="13">
        <v>44462.80902561343</v>
      </c>
      <c r="H2018" s="14">
        <f>IFERROR(__xludf.DUMMYFUNCTION("SPLIT(G2018, "", "")"),44462.0)</f>
        <v>44462</v>
      </c>
      <c r="I2018" s="15">
        <f>IFERROR(__xludf.DUMMYFUNCTION("""COMPUTED_VALUE"""),0.8090277777777778)</f>
        <v>0.8090277778</v>
      </c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</row>
    <row r="2019">
      <c r="A2019" s="12">
        <v>0.17</v>
      </c>
      <c r="B2019" s="12">
        <v>230.0</v>
      </c>
      <c r="C2019" s="12">
        <v>16.0</v>
      </c>
      <c r="D2019" s="12">
        <v>4.74</v>
      </c>
      <c r="E2019" s="12">
        <v>0.41</v>
      </c>
      <c r="F2019" s="12">
        <v>50.0</v>
      </c>
      <c r="G2019" s="13">
        <v>44462.809131145834</v>
      </c>
      <c r="H2019" s="14">
        <f>IFERROR(__xludf.DUMMYFUNCTION("SPLIT(G2019, "", "")"),44462.0)</f>
        <v>44462</v>
      </c>
      <c r="I2019" s="15">
        <f>IFERROR(__xludf.DUMMYFUNCTION("""COMPUTED_VALUE"""),0.8091319444444445)</f>
        <v>0.8091319444</v>
      </c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</row>
    <row r="2020">
      <c r="A2020" s="12">
        <v>0.17</v>
      </c>
      <c r="B2020" s="12">
        <v>230.0</v>
      </c>
      <c r="C2020" s="12">
        <v>16.1</v>
      </c>
      <c r="D2020" s="12">
        <v>4.74</v>
      </c>
      <c r="E2020" s="12">
        <v>0.4</v>
      </c>
      <c r="F2020" s="12">
        <v>50.0</v>
      </c>
      <c r="G2020" s="13">
        <v>44462.809240601855</v>
      </c>
      <c r="H2020" s="14">
        <f>IFERROR(__xludf.DUMMYFUNCTION("SPLIT(G2020, "", "")"),44462.0)</f>
        <v>44462</v>
      </c>
      <c r="I2020" s="15">
        <f>IFERROR(__xludf.DUMMYFUNCTION("""COMPUTED_VALUE"""),0.8092361111111112)</f>
        <v>0.8092361111</v>
      </c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</row>
    <row r="2021">
      <c r="A2021" s="12">
        <v>0.17</v>
      </c>
      <c r="B2021" s="12">
        <v>229.9</v>
      </c>
      <c r="C2021" s="12">
        <v>15.9</v>
      </c>
      <c r="D2021" s="12">
        <v>4.74</v>
      </c>
      <c r="E2021" s="12">
        <v>0.4</v>
      </c>
      <c r="F2021" s="12">
        <v>50.0</v>
      </c>
      <c r="G2021" s="13">
        <v>44462.8093471412</v>
      </c>
      <c r="H2021" s="14">
        <f>IFERROR(__xludf.DUMMYFUNCTION("SPLIT(G2021, "", "")"),44462.0)</f>
        <v>44462</v>
      </c>
      <c r="I2021" s="15">
        <f>IFERROR(__xludf.DUMMYFUNCTION("""COMPUTED_VALUE"""),0.8093518518518519)</f>
        <v>0.8093518519</v>
      </c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</row>
    <row r="2022">
      <c r="A2022" s="12">
        <v>0.17</v>
      </c>
      <c r="B2022" s="12">
        <v>230.1</v>
      </c>
      <c r="C2022" s="12">
        <v>16.0</v>
      </c>
      <c r="D2022" s="12">
        <v>4.74</v>
      </c>
      <c r="E2022" s="12">
        <v>0.4</v>
      </c>
      <c r="F2022" s="12">
        <v>50.0</v>
      </c>
      <c r="G2022" s="13">
        <v>44462.809452511574</v>
      </c>
      <c r="H2022" s="14">
        <f>IFERROR(__xludf.DUMMYFUNCTION("SPLIT(G2022, "", "")"),44462.0)</f>
        <v>44462</v>
      </c>
      <c r="I2022" s="15">
        <f>IFERROR(__xludf.DUMMYFUNCTION("""COMPUTED_VALUE"""),0.8094560185185186)</f>
        <v>0.8094560185</v>
      </c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</row>
    <row r="2023">
      <c r="A2023" s="12">
        <v>0.17</v>
      </c>
      <c r="B2023" s="12">
        <v>230.0</v>
      </c>
      <c r="C2023" s="12">
        <v>15.9</v>
      </c>
      <c r="D2023" s="12">
        <v>4.74</v>
      </c>
      <c r="E2023" s="12">
        <v>0.4</v>
      </c>
      <c r="F2023" s="12">
        <v>50.0</v>
      </c>
      <c r="G2023" s="13">
        <v>44462.8095578125</v>
      </c>
      <c r="H2023" s="14">
        <f>IFERROR(__xludf.DUMMYFUNCTION("SPLIT(G2023, "", "")"),44462.0)</f>
        <v>44462</v>
      </c>
      <c r="I2023" s="15">
        <f>IFERROR(__xludf.DUMMYFUNCTION("""COMPUTED_VALUE"""),0.8095601851851851)</f>
        <v>0.8095601852</v>
      </c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</row>
    <row r="2024">
      <c r="A2024" s="12">
        <v>0.17</v>
      </c>
      <c r="B2024" s="12">
        <v>229.9</v>
      </c>
      <c r="C2024" s="12">
        <v>15.8</v>
      </c>
      <c r="D2024" s="12">
        <v>4.74</v>
      </c>
      <c r="E2024" s="12">
        <v>0.4</v>
      </c>
      <c r="F2024" s="12">
        <v>50.0</v>
      </c>
      <c r="G2024" s="13">
        <v>44462.80966050926</v>
      </c>
      <c r="H2024" s="14">
        <f>IFERROR(__xludf.DUMMYFUNCTION("SPLIT(G2024, "", "")"),44462.0)</f>
        <v>44462</v>
      </c>
      <c r="I2024" s="15">
        <f>IFERROR(__xludf.DUMMYFUNCTION("""COMPUTED_VALUE"""),0.8096643518518518)</f>
        <v>0.8096643519</v>
      </c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</row>
    <row r="2025">
      <c r="A2025" s="12">
        <v>0.17</v>
      </c>
      <c r="B2025" s="12">
        <v>229.9</v>
      </c>
      <c r="C2025" s="12">
        <v>15.8</v>
      </c>
      <c r="D2025" s="12">
        <v>4.74</v>
      </c>
      <c r="E2025" s="12">
        <v>0.4</v>
      </c>
      <c r="F2025" s="12">
        <v>50.0</v>
      </c>
      <c r="G2025" s="13">
        <v>44462.80976380787</v>
      </c>
      <c r="H2025" s="14">
        <f>IFERROR(__xludf.DUMMYFUNCTION("SPLIT(G2025, "", "")"),44462.0)</f>
        <v>44462</v>
      </c>
      <c r="I2025" s="15">
        <f>IFERROR(__xludf.DUMMYFUNCTION("""COMPUTED_VALUE"""),0.8097685185185185)</f>
        <v>0.8097685185</v>
      </c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</row>
    <row r="2026">
      <c r="A2026" s="12">
        <v>0.17</v>
      </c>
      <c r="B2026" s="12">
        <v>230.1</v>
      </c>
      <c r="C2026" s="12">
        <v>15.8</v>
      </c>
      <c r="D2026" s="12">
        <v>4.74</v>
      </c>
      <c r="E2026" s="12">
        <v>0.4</v>
      </c>
      <c r="F2026" s="12">
        <v>50.0</v>
      </c>
      <c r="G2026" s="13">
        <v>44462.809867013886</v>
      </c>
      <c r="H2026" s="14">
        <f>IFERROR(__xludf.DUMMYFUNCTION("SPLIT(G2026, "", "")"),44462.0)</f>
        <v>44462</v>
      </c>
      <c r="I2026" s="15">
        <f>IFERROR(__xludf.DUMMYFUNCTION("""COMPUTED_VALUE"""),0.8098726851851852)</f>
        <v>0.8098726852</v>
      </c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</row>
    <row r="2027">
      <c r="A2027" s="12">
        <v>0.17</v>
      </c>
      <c r="B2027" s="12">
        <v>230.1</v>
      </c>
      <c r="C2027" s="12">
        <v>15.9</v>
      </c>
      <c r="D2027" s="12">
        <v>4.74</v>
      </c>
      <c r="E2027" s="12">
        <v>0.41</v>
      </c>
      <c r="F2027" s="12">
        <v>50.0</v>
      </c>
      <c r="G2027" s="13">
        <v>44462.80996296296</v>
      </c>
      <c r="H2027" s="14">
        <f>IFERROR(__xludf.DUMMYFUNCTION("SPLIT(G2027, "", "")"),44462.0)</f>
        <v>44462</v>
      </c>
      <c r="I2027" s="15">
        <f>IFERROR(__xludf.DUMMYFUNCTION("""COMPUTED_VALUE"""),0.8099652777777778)</f>
        <v>0.8099652778</v>
      </c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</row>
    <row r="2028">
      <c r="A2028" s="12">
        <v>0.17</v>
      </c>
      <c r="B2028" s="12">
        <v>230.2</v>
      </c>
      <c r="C2028" s="12">
        <v>15.9</v>
      </c>
      <c r="D2028" s="12">
        <v>4.74</v>
      </c>
      <c r="E2028" s="12">
        <v>0.4</v>
      </c>
      <c r="F2028" s="12">
        <v>50.0</v>
      </c>
      <c r="G2028" s="13">
        <v>44462.81006270833</v>
      </c>
      <c r="H2028" s="14">
        <f>IFERROR(__xludf.DUMMYFUNCTION("SPLIT(G2028, "", "")"),44462.0)</f>
        <v>44462</v>
      </c>
      <c r="I2028" s="15">
        <f>IFERROR(__xludf.DUMMYFUNCTION("""COMPUTED_VALUE"""),0.8100578703703704)</f>
        <v>0.8100578704</v>
      </c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</row>
    <row r="2029">
      <c r="A2029" s="12">
        <v>0.17</v>
      </c>
      <c r="B2029" s="12">
        <v>230.3</v>
      </c>
      <c r="C2029" s="12">
        <v>15.9</v>
      </c>
      <c r="D2029" s="12">
        <v>4.74</v>
      </c>
      <c r="E2029" s="12">
        <v>0.4</v>
      </c>
      <c r="F2029" s="12">
        <v>50.0</v>
      </c>
      <c r="G2029" s="13">
        <v>44462.810169675926</v>
      </c>
      <c r="H2029" s="14">
        <f>IFERROR(__xludf.DUMMYFUNCTION("SPLIT(G2029, "", "")"),44462.0)</f>
        <v>44462</v>
      </c>
      <c r="I2029" s="15">
        <f>IFERROR(__xludf.DUMMYFUNCTION("""COMPUTED_VALUE"""),0.8101736111111111)</f>
        <v>0.8101736111</v>
      </c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</row>
    <row r="2030">
      <c r="A2030" s="12">
        <v>0.17</v>
      </c>
      <c r="B2030" s="12">
        <v>230.3</v>
      </c>
      <c r="C2030" s="12">
        <v>15.9</v>
      </c>
      <c r="D2030" s="12">
        <v>4.74</v>
      </c>
      <c r="E2030" s="12">
        <v>0.41</v>
      </c>
      <c r="F2030" s="12">
        <v>50.0</v>
      </c>
      <c r="G2030" s="13">
        <v>44462.81027650463</v>
      </c>
      <c r="H2030" s="14">
        <f>IFERROR(__xludf.DUMMYFUNCTION("SPLIT(G2030, "", "")"),44462.0)</f>
        <v>44462</v>
      </c>
      <c r="I2030" s="15">
        <f>IFERROR(__xludf.DUMMYFUNCTION("""COMPUTED_VALUE"""),0.8102777777777778)</f>
        <v>0.8102777778</v>
      </c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</row>
    <row r="2031">
      <c r="A2031" s="12">
        <v>0.17</v>
      </c>
      <c r="B2031" s="12">
        <v>230.7</v>
      </c>
      <c r="C2031" s="12">
        <v>16.2</v>
      </c>
      <c r="D2031" s="12">
        <v>4.74</v>
      </c>
      <c r="E2031" s="12">
        <v>0.41</v>
      </c>
      <c r="F2031" s="12">
        <v>50.0</v>
      </c>
      <c r="G2031" s="13">
        <v>44462.81038983796</v>
      </c>
      <c r="H2031" s="14">
        <f>IFERROR(__xludf.DUMMYFUNCTION("SPLIT(G2031, "", "")"),44462.0)</f>
        <v>44462</v>
      </c>
      <c r="I2031" s="15">
        <f>IFERROR(__xludf.DUMMYFUNCTION("""COMPUTED_VALUE"""),0.8103935185185185)</f>
        <v>0.8103935185</v>
      </c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</row>
    <row r="2032">
      <c r="A2032" s="12">
        <v>0.17</v>
      </c>
      <c r="B2032" s="12">
        <v>231.1</v>
      </c>
      <c r="C2032" s="12">
        <v>16.2</v>
      </c>
      <c r="D2032" s="12">
        <v>4.74</v>
      </c>
      <c r="E2032" s="12">
        <v>0.41</v>
      </c>
      <c r="F2032" s="12">
        <v>50.0</v>
      </c>
      <c r="G2032" s="13">
        <v>44462.810499467596</v>
      </c>
      <c r="H2032" s="14">
        <f>IFERROR(__xludf.DUMMYFUNCTION("SPLIT(G2032, "", "")"),44462.0)</f>
        <v>44462</v>
      </c>
      <c r="I2032" s="15">
        <f>IFERROR(__xludf.DUMMYFUNCTION("""COMPUTED_VALUE"""),0.8104976851851852)</f>
        <v>0.8104976852</v>
      </c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</row>
    <row r="2033">
      <c r="A2033" s="12">
        <v>0.17</v>
      </c>
      <c r="B2033" s="12">
        <v>230.9</v>
      </c>
      <c r="C2033" s="12">
        <v>16.1</v>
      </c>
      <c r="D2033" s="12">
        <v>4.74</v>
      </c>
      <c r="E2033" s="12">
        <v>0.41</v>
      </c>
      <c r="F2033" s="12">
        <v>49.9</v>
      </c>
      <c r="G2033" s="13">
        <v>44462.81060335648</v>
      </c>
      <c r="H2033" s="14">
        <f>IFERROR(__xludf.DUMMYFUNCTION("SPLIT(G2033, "", "")"),44462.0)</f>
        <v>44462</v>
      </c>
      <c r="I2033" s="15">
        <f>IFERROR(__xludf.DUMMYFUNCTION("""COMPUTED_VALUE"""),0.8106018518518519)</f>
        <v>0.8106018519</v>
      </c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</row>
    <row r="2034">
      <c r="A2034" s="12">
        <v>0.17</v>
      </c>
      <c r="B2034" s="12">
        <v>231.0</v>
      </c>
      <c r="C2034" s="12">
        <v>16.3</v>
      </c>
      <c r="D2034" s="12">
        <v>4.74</v>
      </c>
      <c r="E2034" s="12">
        <v>0.41</v>
      </c>
      <c r="F2034" s="12">
        <v>49.9</v>
      </c>
      <c r="G2034" s="13">
        <v>44462.8107062037</v>
      </c>
      <c r="H2034" s="14">
        <f>IFERROR(__xludf.DUMMYFUNCTION("SPLIT(G2034, "", "")"),44462.0)</f>
        <v>44462</v>
      </c>
      <c r="I2034" s="15">
        <f>IFERROR(__xludf.DUMMYFUNCTION("""COMPUTED_VALUE"""),0.8107060185185185)</f>
        <v>0.8107060185</v>
      </c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</row>
    <row r="2035">
      <c r="A2035" s="12">
        <v>0.17</v>
      </c>
      <c r="B2035" s="12">
        <v>231.7</v>
      </c>
      <c r="C2035" s="12">
        <v>16.3</v>
      </c>
      <c r="D2035" s="12">
        <v>4.74</v>
      </c>
      <c r="E2035" s="12">
        <v>0.41</v>
      </c>
      <c r="F2035" s="12">
        <v>50.0</v>
      </c>
      <c r="G2035" s="13">
        <v>44462.810806828704</v>
      </c>
      <c r="H2035" s="14">
        <f>IFERROR(__xludf.DUMMYFUNCTION("SPLIT(G2035, "", "")"),44462.0)</f>
        <v>44462</v>
      </c>
      <c r="I2035" s="15">
        <f>IFERROR(__xludf.DUMMYFUNCTION("""COMPUTED_VALUE"""),0.8108101851851852)</f>
        <v>0.8108101852</v>
      </c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</row>
    <row r="2036">
      <c r="A2036" s="12">
        <v>0.17</v>
      </c>
      <c r="B2036" s="12">
        <v>231.6</v>
      </c>
      <c r="C2036" s="12">
        <v>16.3</v>
      </c>
      <c r="D2036" s="12">
        <v>4.74</v>
      </c>
      <c r="E2036" s="12">
        <v>0.41</v>
      </c>
      <c r="F2036" s="12">
        <v>49.9</v>
      </c>
      <c r="G2036" s="13">
        <v>44462.81091010416</v>
      </c>
      <c r="H2036" s="14">
        <f>IFERROR(__xludf.DUMMYFUNCTION("SPLIT(G2036, "", "")"),44462.0)</f>
        <v>44462</v>
      </c>
      <c r="I2036" s="15">
        <f>IFERROR(__xludf.DUMMYFUNCTION("""COMPUTED_VALUE"""),0.8109143518518519)</f>
        <v>0.8109143519</v>
      </c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</row>
    <row r="2037">
      <c r="A2037" s="12">
        <v>0.17</v>
      </c>
      <c r="B2037" s="12">
        <v>231.7</v>
      </c>
      <c r="C2037" s="12">
        <v>16.2</v>
      </c>
      <c r="D2037" s="12">
        <v>4.74</v>
      </c>
      <c r="E2037" s="12">
        <v>0.4</v>
      </c>
      <c r="F2037" s="12">
        <v>50.0</v>
      </c>
      <c r="G2037" s="13">
        <v>44462.81101583333</v>
      </c>
      <c r="H2037" s="14">
        <f>IFERROR(__xludf.DUMMYFUNCTION("SPLIT(G2037, "", "")"),44462.0)</f>
        <v>44462</v>
      </c>
      <c r="I2037" s="15">
        <f>IFERROR(__xludf.DUMMYFUNCTION("""COMPUTED_VALUE"""),0.8110185185185185)</f>
        <v>0.8110185185</v>
      </c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</row>
    <row r="2038">
      <c r="A2038" s="12">
        <v>0.17</v>
      </c>
      <c r="B2038" s="12">
        <v>231.7</v>
      </c>
      <c r="C2038" s="12">
        <v>16.2</v>
      </c>
      <c r="D2038" s="12">
        <v>4.74</v>
      </c>
      <c r="E2038" s="12">
        <v>0.41</v>
      </c>
      <c r="F2038" s="12">
        <v>50.0</v>
      </c>
      <c r="G2038" s="13">
        <v>44462.811117199075</v>
      </c>
      <c r="H2038" s="14">
        <f>IFERROR(__xludf.DUMMYFUNCTION("SPLIT(G2038, "", "")"),44462.0)</f>
        <v>44462</v>
      </c>
      <c r="I2038" s="15">
        <f>IFERROR(__xludf.DUMMYFUNCTION("""COMPUTED_VALUE"""),0.8111226851851852)</f>
        <v>0.8111226852</v>
      </c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</row>
    <row r="2039">
      <c r="A2039" s="12">
        <v>0.17</v>
      </c>
      <c r="B2039" s="12">
        <v>231.7</v>
      </c>
      <c r="C2039" s="12">
        <v>16.2</v>
      </c>
      <c r="D2039" s="12">
        <v>4.74</v>
      </c>
      <c r="E2039" s="12">
        <v>0.41</v>
      </c>
      <c r="F2039" s="12">
        <v>50.0</v>
      </c>
      <c r="G2039" s="13">
        <v>44462.811223854165</v>
      </c>
      <c r="H2039" s="14">
        <f>IFERROR(__xludf.DUMMYFUNCTION("SPLIT(G2039, "", "")"),44462.0)</f>
        <v>44462</v>
      </c>
      <c r="I2039" s="15">
        <f>IFERROR(__xludf.DUMMYFUNCTION("""COMPUTED_VALUE"""),0.8112268518518518)</f>
        <v>0.8112268519</v>
      </c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</row>
    <row r="2040">
      <c r="A2040" s="12">
        <v>0.17</v>
      </c>
      <c r="B2040" s="12">
        <v>231.8</v>
      </c>
      <c r="C2040" s="12">
        <v>16.3</v>
      </c>
      <c r="D2040" s="12">
        <v>4.74</v>
      </c>
      <c r="E2040" s="12">
        <v>0.41</v>
      </c>
      <c r="F2040" s="12">
        <v>50.0</v>
      </c>
      <c r="G2040" s="13">
        <v>44462.811329212964</v>
      </c>
      <c r="H2040" s="14">
        <f>IFERROR(__xludf.DUMMYFUNCTION("SPLIT(G2040, "", "")"),44462.0)</f>
        <v>44462</v>
      </c>
      <c r="I2040" s="15">
        <f>IFERROR(__xludf.DUMMYFUNCTION("""COMPUTED_VALUE"""),0.8113310185185185)</f>
        <v>0.8113310185</v>
      </c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</row>
    <row r="2041">
      <c r="A2041" s="12">
        <v>0.17</v>
      </c>
      <c r="B2041" s="12">
        <v>231.7</v>
      </c>
      <c r="C2041" s="12">
        <v>16.1</v>
      </c>
      <c r="D2041" s="12">
        <v>4.74</v>
      </c>
      <c r="E2041" s="12">
        <v>0.4</v>
      </c>
      <c r="F2041" s="12">
        <v>50.0</v>
      </c>
      <c r="G2041" s="13">
        <v>44462.81142738426</v>
      </c>
      <c r="H2041" s="14">
        <f>IFERROR(__xludf.DUMMYFUNCTION("SPLIT(G2041, "", "")"),44462.0)</f>
        <v>44462</v>
      </c>
      <c r="I2041" s="15">
        <f>IFERROR(__xludf.DUMMYFUNCTION("""COMPUTED_VALUE"""),0.8114236111111112)</f>
        <v>0.8114236111</v>
      </c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</row>
    <row r="2042">
      <c r="A2042" s="12">
        <v>0.17</v>
      </c>
      <c r="B2042" s="12">
        <v>231.8</v>
      </c>
      <c r="C2042" s="12">
        <v>16.1</v>
      </c>
      <c r="D2042" s="12">
        <v>4.74</v>
      </c>
      <c r="E2042" s="12">
        <v>0.4</v>
      </c>
      <c r="F2042" s="12">
        <v>50.0</v>
      </c>
      <c r="G2042" s="13">
        <v>44462.81152800926</v>
      </c>
      <c r="H2042" s="14">
        <f>IFERROR(__xludf.DUMMYFUNCTION("SPLIT(G2042, "", "")"),44462.0)</f>
        <v>44462</v>
      </c>
      <c r="I2042" s="15">
        <f>IFERROR(__xludf.DUMMYFUNCTION("""COMPUTED_VALUE"""),0.8115277777777777)</f>
        <v>0.8115277778</v>
      </c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</row>
    <row r="2043">
      <c r="A2043" s="12">
        <v>0.17</v>
      </c>
      <c r="B2043" s="12">
        <v>231.7</v>
      </c>
      <c r="C2043" s="12">
        <v>16.0</v>
      </c>
      <c r="D2043" s="12">
        <v>4.74</v>
      </c>
      <c r="E2043" s="12">
        <v>0.4</v>
      </c>
      <c r="F2043" s="12">
        <v>50.0</v>
      </c>
      <c r="G2043" s="13">
        <v>44462.81163950231</v>
      </c>
      <c r="H2043" s="14">
        <f>IFERROR(__xludf.DUMMYFUNCTION("SPLIT(G2043, "", "")"),44462.0)</f>
        <v>44462</v>
      </c>
      <c r="I2043" s="15">
        <f>IFERROR(__xludf.DUMMYFUNCTION("""COMPUTED_VALUE"""),0.8116435185185186)</f>
        <v>0.8116435185</v>
      </c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</row>
    <row r="2044">
      <c r="A2044" s="12">
        <v>0.17</v>
      </c>
      <c r="B2044" s="12">
        <v>231.8</v>
      </c>
      <c r="C2044" s="12">
        <v>16.1</v>
      </c>
      <c r="D2044" s="12">
        <v>4.74</v>
      </c>
      <c r="E2044" s="12">
        <v>0.41</v>
      </c>
      <c r="F2044" s="12">
        <v>50.0</v>
      </c>
      <c r="G2044" s="13">
        <v>44462.81175125</v>
      </c>
      <c r="H2044" s="14">
        <f>IFERROR(__xludf.DUMMYFUNCTION("SPLIT(G2044, "", "")"),44462.0)</f>
        <v>44462</v>
      </c>
      <c r="I2044" s="15">
        <f>IFERROR(__xludf.DUMMYFUNCTION("""COMPUTED_VALUE"""),0.8117476851851851)</f>
        <v>0.8117476852</v>
      </c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</row>
    <row r="2045">
      <c r="A2045" s="12">
        <v>0.17</v>
      </c>
      <c r="B2045" s="12">
        <v>231.6</v>
      </c>
      <c r="C2045" s="12">
        <v>16.0</v>
      </c>
      <c r="D2045" s="12">
        <v>4.74</v>
      </c>
      <c r="E2045" s="12">
        <v>0.41</v>
      </c>
      <c r="F2045" s="12">
        <v>50.0</v>
      </c>
      <c r="G2045" s="13">
        <v>44462.811857002314</v>
      </c>
      <c r="H2045" s="14">
        <f>IFERROR(__xludf.DUMMYFUNCTION("SPLIT(G2045, "", "")"),44462.0)</f>
        <v>44462</v>
      </c>
      <c r="I2045" s="15">
        <f>IFERROR(__xludf.DUMMYFUNCTION("""COMPUTED_VALUE"""),0.8118518518518518)</f>
        <v>0.8118518519</v>
      </c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</row>
    <row r="2046">
      <c r="A2046" s="12">
        <v>0.17</v>
      </c>
      <c r="B2046" s="12">
        <v>231.6</v>
      </c>
      <c r="C2046" s="12">
        <v>15.9</v>
      </c>
      <c r="D2046" s="12">
        <v>4.74</v>
      </c>
      <c r="E2046" s="12">
        <v>0.4</v>
      </c>
      <c r="F2046" s="12">
        <v>50.0</v>
      </c>
      <c r="G2046" s="13">
        <v>44462.81195856482</v>
      </c>
      <c r="H2046" s="14">
        <f>IFERROR(__xludf.DUMMYFUNCTION("SPLIT(G2046, "", "")"),44462.0)</f>
        <v>44462</v>
      </c>
      <c r="I2046" s="15">
        <f>IFERROR(__xludf.DUMMYFUNCTION("""COMPUTED_VALUE"""),0.8119560185185185)</f>
        <v>0.8119560185</v>
      </c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</row>
    <row r="2047">
      <c r="A2047" s="12">
        <v>0.17</v>
      </c>
      <c r="B2047" s="12">
        <v>231.5</v>
      </c>
      <c r="C2047" s="12">
        <v>15.8</v>
      </c>
      <c r="D2047" s="12">
        <v>4.74</v>
      </c>
      <c r="E2047" s="12">
        <v>0.4</v>
      </c>
      <c r="F2047" s="12">
        <v>49.9</v>
      </c>
      <c r="G2047" s="13">
        <v>44462.81205883102</v>
      </c>
      <c r="H2047" s="14">
        <f>IFERROR(__xludf.DUMMYFUNCTION("SPLIT(G2047, "", "")"),44462.0)</f>
        <v>44462</v>
      </c>
      <c r="I2047" s="15">
        <f>IFERROR(__xludf.DUMMYFUNCTION("""COMPUTED_VALUE"""),0.8120601851851852)</f>
        <v>0.8120601852</v>
      </c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</row>
    <row r="2048">
      <c r="A2048" s="12">
        <v>0.17</v>
      </c>
      <c r="B2048" s="12">
        <v>231.5</v>
      </c>
      <c r="C2048" s="12">
        <v>15.8</v>
      </c>
      <c r="D2048" s="12">
        <v>4.74</v>
      </c>
      <c r="E2048" s="12">
        <v>0.4</v>
      </c>
      <c r="F2048" s="12">
        <v>49.9</v>
      </c>
      <c r="G2048" s="13">
        <v>44462.81215966435</v>
      </c>
      <c r="H2048" s="14">
        <f>IFERROR(__xludf.DUMMYFUNCTION("SPLIT(G2048, "", "")"),44462.0)</f>
        <v>44462</v>
      </c>
      <c r="I2048" s="15">
        <f>IFERROR(__xludf.DUMMYFUNCTION("""COMPUTED_VALUE"""),0.8121643518518519)</f>
        <v>0.8121643519</v>
      </c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</row>
    <row r="2049">
      <c r="A2049" s="12">
        <v>0.17</v>
      </c>
      <c r="B2049" s="12">
        <v>231.5</v>
      </c>
      <c r="C2049" s="12">
        <v>15.7</v>
      </c>
      <c r="D2049" s="12">
        <v>4.74</v>
      </c>
      <c r="E2049" s="12">
        <v>0.4</v>
      </c>
      <c r="F2049" s="12">
        <v>50.0</v>
      </c>
      <c r="G2049" s="13">
        <v>44462.8122624074</v>
      </c>
      <c r="H2049" s="14">
        <f>IFERROR(__xludf.DUMMYFUNCTION("SPLIT(G2049, "", "")"),44462.0)</f>
        <v>44462</v>
      </c>
      <c r="I2049" s="15">
        <f>IFERROR(__xludf.DUMMYFUNCTION("""COMPUTED_VALUE"""),0.8122569444444444)</f>
        <v>0.8122569444</v>
      </c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</row>
    <row r="2050">
      <c r="A2050" s="12">
        <v>0.17</v>
      </c>
      <c r="B2050" s="12">
        <v>231.4</v>
      </c>
      <c r="C2050" s="12">
        <v>15.6</v>
      </c>
      <c r="D2050" s="12">
        <v>4.74</v>
      </c>
      <c r="E2050" s="12">
        <v>0.4</v>
      </c>
      <c r="F2050" s="12">
        <v>49.9</v>
      </c>
      <c r="G2050" s="13">
        <v>44462.81236221065</v>
      </c>
      <c r="H2050" s="14">
        <f>IFERROR(__xludf.DUMMYFUNCTION("SPLIT(G2050, "", "")"),44462.0)</f>
        <v>44462</v>
      </c>
      <c r="I2050" s="15">
        <f>IFERROR(__xludf.DUMMYFUNCTION("""COMPUTED_VALUE"""),0.8123611111111111)</f>
        <v>0.8123611111</v>
      </c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</row>
    <row r="2051">
      <c r="A2051" s="12">
        <v>0.17</v>
      </c>
      <c r="B2051" s="12">
        <v>231.4</v>
      </c>
      <c r="C2051" s="12">
        <v>15.7</v>
      </c>
      <c r="D2051" s="12">
        <v>4.74</v>
      </c>
      <c r="E2051" s="12">
        <v>0.41</v>
      </c>
      <c r="F2051" s="12">
        <v>50.0</v>
      </c>
      <c r="G2051" s="13">
        <v>44462.81246048611</v>
      </c>
      <c r="H2051" s="14">
        <f>IFERROR(__xludf.DUMMYFUNCTION("SPLIT(G2051, "", "")"),44462.0)</f>
        <v>44462</v>
      </c>
      <c r="I2051" s="15">
        <f>IFERROR(__xludf.DUMMYFUNCTION("""COMPUTED_VALUE"""),0.8124652777777778)</f>
        <v>0.8124652778</v>
      </c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</row>
    <row r="2052">
      <c r="A2052" s="12">
        <v>0.17</v>
      </c>
      <c r="B2052" s="12">
        <v>231.8</v>
      </c>
      <c r="C2052" s="12">
        <v>15.7</v>
      </c>
      <c r="D2052" s="12">
        <v>4.74</v>
      </c>
      <c r="E2052" s="12">
        <v>0.4</v>
      </c>
      <c r="F2052" s="12">
        <v>50.0</v>
      </c>
      <c r="G2052" s="13">
        <v>44462.81256497685</v>
      </c>
      <c r="H2052" s="14">
        <f>IFERROR(__xludf.DUMMYFUNCTION("SPLIT(G2052, "", "")"),44462.0)</f>
        <v>44462</v>
      </c>
      <c r="I2052" s="15">
        <f>IFERROR(__xludf.DUMMYFUNCTION("""COMPUTED_VALUE"""),0.8125694444444445)</f>
        <v>0.8125694444</v>
      </c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</row>
    <row r="2053">
      <c r="A2053" s="12">
        <v>0.17</v>
      </c>
      <c r="B2053" s="12">
        <v>231.9</v>
      </c>
      <c r="C2053" s="12">
        <v>15.7</v>
      </c>
      <c r="D2053" s="12">
        <v>4.74</v>
      </c>
      <c r="E2053" s="12">
        <v>0.4</v>
      </c>
      <c r="F2053" s="12">
        <v>50.0</v>
      </c>
      <c r="G2053" s="13">
        <v>44462.812670983796</v>
      </c>
      <c r="H2053" s="14">
        <f>IFERROR(__xludf.DUMMYFUNCTION("SPLIT(G2053, "", "")"),44462.0)</f>
        <v>44462</v>
      </c>
      <c r="I2053" s="15">
        <f>IFERROR(__xludf.DUMMYFUNCTION("""COMPUTED_VALUE"""),0.8126736111111111)</f>
        <v>0.8126736111</v>
      </c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</row>
    <row r="2054">
      <c r="A2054" s="12">
        <v>0.17</v>
      </c>
      <c r="B2054" s="12">
        <v>231.8</v>
      </c>
      <c r="C2054" s="12">
        <v>15.6</v>
      </c>
      <c r="D2054" s="12">
        <v>4.74</v>
      </c>
      <c r="E2054" s="12">
        <v>0.4</v>
      </c>
      <c r="F2054" s="12">
        <v>50.0</v>
      </c>
      <c r="G2054" s="13">
        <v>44462.812773240745</v>
      </c>
      <c r="H2054" s="14">
        <f>IFERROR(__xludf.DUMMYFUNCTION("SPLIT(G2054, "", "")"),44462.0)</f>
        <v>44462</v>
      </c>
      <c r="I2054" s="15">
        <f>IFERROR(__xludf.DUMMYFUNCTION("""COMPUTED_VALUE"""),0.8127777777777778)</f>
        <v>0.8127777778</v>
      </c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</row>
    <row r="2055">
      <c r="A2055" s="12">
        <v>0.17</v>
      </c>
      <c r="B2055" s="12">
        <v>230.0</v>
      </c>
      <c r="C2055" s="12">
        <v>13.4</v>
      </c>
      <c r="D2055" s="12">
        <v>4.74</v>
      </c>
      <c r="E2055" s="12">
        <v>0.34</v>
      </c>
      <c r="F2055" s="12">
        <v>50.0</v>
      </c>
      <c r="G2055" s="13">
        <v>44462.81287484954</v>
      </c>
      <c r="H2055" s="14">
        <f>IFERROR(__xludf.DUMMYFUNCTION("SPLIT(G2055, "", "")"),44462.0)</f>
        <v>44462</v>
      </c>
      <c r="I2055" s="15">
        <f>IFERROR(__xludf.DUMMYFUNCTION("""COMPUTED_VALUE"""),0.8128703703703704)</f>
        <v>0.8128703704</v>
      </c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</row>
    <row r="2056">
      <c r="A2056" s="12">
        <v>0.17</v>
      </c>
      <c r="B2056" s="12">
        <v>229.3</v>
      </c>
      <c r="C2056" s="12">
        <v>12.9</v>
      </c>
      <c r="D2056" s="12">
        <v>4.74</v>
      </c>
      <c r="E2056" s="12">
        <v>0.33</v>
      </c>
      <c r="F2056" s="12">
        <v>50.0</v>
      </c>
      <c r="G2056" s="13">
        <v>44462.81297508102</v>
      </c>
      <c r="H2056" s="14">
        <f>IFERROR(__xludf.DUMMYFUNCTION("SPLIT(G2056, "", "")"),44462.0)</f>
        <v>44462</v>
      </c>
      <c r="I2056" s="15">
        <f>IFERROR(__xludf.DUMMYFUNCTION("""COMPUTED_VALUE"""),0.812974537037037)</f>
        <v>0.812974537</v>
      </c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</row>
    <row r="2057">
      <c r="A2057" s="12">
        <v>0.17</v>
      </c>
      <c r="B2057" s="12">
        <v>230.7</v>
      </c>
      <c r="C2057" s="12">
        <v>15.4</v>
      </c>
      <c r="D2057" s="12">
        <v>4.74</v>
      </c>
      <c r="E2057" s="12">
        <v>0.4</v>
      </c>
      <c r="F2057" s="12">
        <v>50.0</v>
      </c>
      <c r="G2057" s="13">
        <v>44462.81307982639</v>
      </c>
      <c r="H2057" s="14">
        <f>IFERROR(__xludf.DUMMYFUNCTION("SPLIT(G2057, "", "")"),44462.0)</f>
        <v>44462</v>
      </c>
      <c r="I2057" s="15">
        <f>IFERROR(__xludf.DUMMYFUNCTION("""COMPUTED_VALUE"""),0.8130787037037037)</f>
        <v>0.8130787037</v>
      </c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</row>
    <row r="2058">
      <c r="A2058" s="12">
        <v>0.17</v>
      </c>
      <c r="B2058" s="12">
        <v>230.9</v>
      </c>
      <c r="C2058" s="12">
        <v>15.3</v>
      </c>
      <c r="D2058" s="12">
        <v>4.74</v>
      </c>
      <c r="E2058" s="12">
        <v>0.39</v>
      </c>
      <c r="F2058" s="12">
        <v>50.0</v>
      </c>
      <c r="G2058" s="13">
        <v>44462.81318611111</v>
      </c>
      <c r="H2058" s="14">
        <f>IFERROR(__xludf.DUMMYFUNCTION("SPLIT(G2058, "", "")"),44462.0)</f>
        <v>44462</v>
      </c>
      <c r="I2058" s="15">
        <f>IFERROR(__xludf.DUMMYFUNCTION("""COMPUTED_VALUE"""),0.8131828703703704)</f>
        <v>0.8131828704</v>
      </c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</row>
    <row r="2059">
      <c r="A2059" s="12">
        <v>0.17</v>
      </c>
      <c r="B2059" s="12">
        <v>230.9</v>
      </c>
      <c r="C2059" s="12">
        <v>15.3</v>
      </c>
      <c r="D2059" s="12">
        <v>4.74</v>
      </c>
      <c r="E2059" s="12">
        <v>0.4</v>
      </c>
      <c r="F2059" s="12">
        <v>50.0</v>
      </c>
      <c r="G2059" s="13">
        <v>44462.81328753472</v>
      </c>
      <c r="H2059" s="14">
        <f>IFERROR(__xludf.DUMMYFUNCTION("SPLIT(G2059, "", "")"),44462.0)</f>
        <v>44462</v>
      </c>
      <c r="I2059" s="15">
        <f>IFERROR(__xludf.DUMMYFUNCTION("""COMPUTED_VALUE"""),0.8132870370370371)</f>
        <v>0.813287037</v>
      </c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</row>
    <row r="2060">
      <c r="A2060" s="12">
        <v>0.17</v>
      </c>
      <c r="B2060" s="12">
        <v>229.4</v>
      </c>
      <c r="C2060" s="12">
        <v>12.8</v>
      </c>
      <c r="D2060" s="12">
        <v>4.74</v>
      </c>
      <c r="E2060" s="12">
        <v>0.32</v>
      </c>
      <c r="F2060" s="12">
        <v>49.9</v>
      </c>
      <c r="G2060" s="13">
        <v>44462.81339081019</v>
      </c>
      <c r="H2060" s="14">
        <f>IFERROR(__xludf.DUMMYFUNCTION("SPLIT(G2060, "", "")"),44462.0)</f>
        <v>44462</v>
      </c>
      <c r="I2060" s="15">
        <f>IFERROR(__xludf.DUMMYFUNCTION("""COMPUTED_VALUE"""),0.8133912037037037)</f>
        <v>0.8133912037</v>
      </c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</row>
    <row r="2061">
      <c r="A2061" s="12">
        <v>0.17</v>
      </c>
      <c r="B2061" s="12">
        <v>229.5</v>
      </c>
      <c r="C2061" s="12">
        <v>12.9</v>
      </c>
      <c r="D2061" s="12">
        <v>4.74</v>
      </c>
      <c r="E2061" s="12">
        <v>0.32</v>
      </c>
      <c r="F2061" s="12">
        <v>50.0</v>
      </c>
      <c r="G2061" s="13">
        <v>44462.81348833333</v>
      </c>
      <c r="H2061" s="14">
        <f>IFERROR(__xludf.DUMMYFUNCTION("SPLIT(G2061, "", "")"),44462.0)</f>
        <v>44462</v>
      </c>
      <c r="I2061" s="15">
        <f>IFERROR(__xludf.DUMMYFUNCTION("""COMPUTED_VALUE"""),0.8134837962962963)</f>
        <v>0.8134837963</v>
      </c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</row>
    <row r="2062">
      <c r="A2062" s="12">
        <v>0.17</v>
      </c>
      <c r="B2062" s="12">
        <v>229.5</v>
      </c>
      <c r="C2062" s="12">
        <v>12.8</v>
      </c>
      <c r="D2062" s="12">
        <v>4.74</v>
      </c>
      <c r="E2062" s="12">
        <v>0.32</v>
      </c>
      <c r="F2062" s="12">
        <v>49.9</v>
      </c>
      <c r="G2062" s="13">
        <v>44462.813584918986</v>
      </c>
      <c r="H2062" s="14">
        <f>IFERROR(__xludf.DUMMYFUNCTION("SPLIT(G2062, "", "")"),44462.0)</f>
        <v>44462</v>
      </c>
      <c r="I2062" s="15">
        <f>IFERROR(__xludf.DUMMYFUNCTION("""COMPUTED_VALUE"""),0.813587962962963)</f>
        <v>0.813587963</v>
      </c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</row>
    <row r="2063">
      <c r="A2063" s="12">
        <v>0.17</v>
      </c>
      <c r="B2063" s="12">
        <v>229.5</v>
      </c>
      <c r="C2063" s="12">
        <v>12.9</v>
      </c>
      <c r="D2063" s="12">
        <v>4.74</v>
      </c>
      <c r="E2063" s="12">
        <v>0.32</v>
      </c>
      <c r="F2063" s="12">
        <v>49.9</v>
      </c>
      <c r="G2063" s="13">
        <v>44462.813690173614</v>
      </c>
      <c r="H2063" s="14">
        <f>IFERROR(__xludf.DUMMYFUNCTION("SPLIT(G2063, "", "")"),44462.0)</f>
        <v>44462</v>
      </c>
      <c r="I2063" s="15">
        <f>IFERROR(__xludf.DUMMYFUNCTION("""COMPUTED_VALUE"""),0.8136921296296297)</f>
        <v>0.8136921296</v>
      </c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</row>
    <row r="2064">
      <c r="A2064" s="12">
        <v>0.17</v>
      </c>
      <c r="B2064" s="12">
        <v>231.0</v>
      </c>
      <c r="C2064" s="12">
        <v>15.2</v>
      </c>
      <c r="D2064" s="12">
        <v>4.74</v>
      </c>
      <c r="E2064" s="12">
        <v>0.4</v>
      </c>
      <c r="F2064" s="12">
        <v>49.9</v>
      </c>
      <c r="G2064" s="13">
        <v>44462.81379400463</v>
      </c>
      <c r="H2064" s="14">
        <f>IFERROR(__xludf.DUMMYFUNCTION("SPLIT(G2064, "", "")"),44462.0)</f>
        <v>44462</v>
      </c>
      <c r="I2064" s="15">
        <f>IFERROR(__xludf.DUMMYFUNCTION("""COMPUTED_VALUE"""),0.8137962962962964)</f>
        <v>0.8137962963</v>
      </c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</row>
    <row r="2065">
      <c r="A2065" s="12">
        <v>0.16</v>
      </c>
      <c r="B2065" s="12">
        <v>230.9</v>
      </c>
      <c r="C2065" s="12">
        <v>15.1</v>
      </c>
      <c r="D2065" s="12">
        <v>4.74</v>
      </c>
      <c r="E2065" s="12">
        <v>0.4</v>
      </c>
      <c r="F2065" s="12">
        <v>49.9</v>
      </c>
      <c r="G2065" s="13">
        <v>44462.813898611115</v>
      </c>
      <c r="H2065" s="14">
        <f>IFERROR(__xludf.DUMMYFUNCTION("SPLIT(G2065, "", "")"),44462.0)</f>
        <v>44462</v>
      </c>
      <c r="I2065" s="15">
        <f>IFERROR(__xludf.DUMMYFUNCTION("""COMPUTED_VALUE"""),0.8139004629629629)</f>
        <v>0.813900463</v>
      </c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</row>
    <row r="2066">
      <c r="A2066" s="12">
        <v>0.16</v>
      </c>
      <c r="B2066" s="12">
        <v>230.9</v>
      </c>
      <c r="C2066" s="12">
        <v>15.1</v>
      </c>
      <c r="D2066" s="12">
        <v>4.74</v>
      </c>
      <c r="E2066" s="12">
        <v>0.4</v>
      </c>
      <c r="F2066" s="12">
        <v>50.0</v>
      </c>
      <c r="G2066" s="13">
        <v>44462.81400372685</v>
      </c>
      <c r="H2066" s="14">
        <f>IFERROR(__xludf.DUMMYFUNCTION("SPLIT(G2066, "", "")"),44462.0)</f>
        <v>44462</v>
      </c>
      <c r="I2066" s="15">
        <f>IFERROR(__xludf.DUMMYFUNCTION("""COMPUTED_VALUE"""),0.8140046296296296)</f>
        <v>0.8140046296</v>
      </c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</row>
    <row r="2067">
      <c r="A2067" s="12">
        <v>0.17</v>
      </c>
      <c r="B2067" s="12">
        <v>231.0</v>
      </c>
      <c r="C2067" s="12">
        <v>15.1</v>
      </c>
      <c r="D2067" s="12">
        <v>4.74</v>
      </c>
      <c r="E2067" s="12">
        <v>0.4</v>
      </c>
      <c r="F2067" s="12">
        <v>50.0</v>
      </c>
      <c r="G2067" s="13">
        <v>44462.81410564815</v>
      </c>
      <c r="H2067" s="14">
        <f>IFERROR(__xludf.DUMMYFUNCTION("SPLIT(G2067, "", "")"),44462.0)</f>
        <v>44462</v>
      </c>
      <c r="I2067" s="15">
        <f>IFERROR(__xludf.DUMMYFUNCTION("""COMPUTED_VALUE"""),0.8141087962962963)</f>
        <v>0.8141087963</v>
      </c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</row>
    <row r="2068">
      <c r="A2068" s="12">
        <v>0.17</v>
      </c>
      <c r="B2068" s="12">
        <v>230.9</v>
      </c>
      <c r="C2068" s="12">
        <v>15.0</v>
      </c>
      <c r="D2068" s="12">
        <v>4.74</v>
      </c>
      <c r="E2068" s="12">
        <v>0.39</v>
      </c>
      <c r="F2068" s="12">
        <v>50.0</v>
      </c>
      <c r="G2068" s="13">
        <v>44462.81420806713</v>
      </c>
      <c r="H2068" s="14">
        <f>IFERROR(__xludf.DUMMYFUNCTION("SPLIT(G2068, "", "")"),44462.0)</f>
        <v>44462</v>
      </c>
      <c r="I2068" s="15">
        <f>IFERROR(__xludf.DUMMYFUNCTION("""COMPUTED_VALUE"""),0.814212962962963)</f>
        <v>0.814212963</v>
      </c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</row>
    <row r="2069">
      <c r="A2069" s="12">
        <v>0.16</v>
      </c>
      <c r="B2069" s="12">
        <v>231.0</v>
      </c>
      <c r="C2069" s="12">
        <v>15.1</v>
      </c>
      <c r="D2069" s="12">
        <v>4.74</v>
      </c>
      <c r="E2069" s="12">
        <v>0.4</v>
      </c>
      <c r="F2069" s="12">
        <v>50.0</v>
      </c>
      <c r="G2069" s="13">
        <v>44462.814312789356</v>
      </c>
      <c r="H2069" s="14">
        <f>IFERROR(__xludf.DUMMYFUNCTION("SPLIT(G2069, "", "")"),44462.0)</f>
        <v>44462</v>
      </c>
      <c r="I2069" s="15">
        <f>IFERROR(__xludf.DUMMYFUNCTION("""COMPUTED_VALUE"""),0.8143171296296297)</f>
        <v>0.8143171296</v>
      </c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</row>
    <row r="2070">
      <c r="A2070" s="12">
        <v>0.16</v>
      </c>
      <c r="B2070" s="12">
        <v>231.0</v>
      </c>
      <c r="C2070" s="12">
        <v>15.0</v>
      </c>
      <c r="D2070" s="12">
        <v>4.74</v>
      </c>
      <c r="E2070" s="12">
        <v>0.4</v>
      </c>
      <c r="F2070" s="12">
        <v>50.0</v>
      </c>
      <c r="G2070" s="13">
        <v>44462.814408252314</v>
      </c>
      <c r="H2070" s="14">
        <f>IFERROR(__xludf.DUMMYFUNCTION("SPLIT(G2070, "", "")"),44462.0)</f>
        <v>44462</v>
      </c>
      <c r="I2070" s="15">
        <f>IFERROR(__xludf.DUMMYFUNCTION("""COMPUTED_VALUE"""),0.8144097222222222)</f>
        <v>0.8144097222</v>
      </c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</row>
    <row r="2071">
      <c r="A2071" s="12">
        <v>0.17</v>
      </c>
      <c r="B2071" s="12">
        <v>231.0</v>
      </c>
      <c r="C2071" s="12">
        <v>15.0</v>
      </c>
      <c r="D2071" s="12">
        <v>4.74</v>
      </c>
      <c r="E2071" s="12">
        <v>0.39</v>
      </c>
      <c r="F2071" s="12">
        <v>50.0</v>
      </c>
      <c r="G2071" s="13">
        <v>44462.81451260416</v>
      </c>
      <c r="H2071" s="14">
        <f>IFERROR(__xludf.DUMMYFUNCTION("SPLIT(G2071, "", "")"),44462.0)</f>
        <v>44462</v>
      </c>
      <c r="I2071" s="15">
        <f>IFERROR(__xludf.DUMMYFUNCTION("""COMPUTED_VALUE"""),0.8145138888888889)</f>
        <v>0.8145138889</v>
      </c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</row>
    <row r="2072">
      <c r="A2072" s="12">
        <v>0.17</v>
      </c>
      <c r="B2072" s="12">
        <v>230.9</v>
      </c>
      <c r="C2072" s="12">
        <v>14.9</v>
      </c>
      <c r="D2072" s="12">
        <v>4.74</v>
      </c>
      <c r="E2072" s="12">
        <v>0.39</v>
      </c>
      <c r="F2072" s="12">
        <v>50.0</v>
      </c>
      <c r="G2072" s="13">
        <v>44462.81461965278</v>
      </c>
      <c r="H2072" s="14">
        <f>IFERROR(__xludf.DUMMYFUNCTION("SPLIT(G2072, "", "")"),44462.0)</f>
        <v>44462</v>
      </c>
      <c r="I2072" s="15">
        <f>IFERROR(__xludf.DUMMYFUNCTION("""COMPUTED_VALUE"""),0.8146180555555556)</f>
        <v>0.8146180556</v>
      </c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</row>
    <row r="2073">
      <c r="A2073" s="12">
        <v>0.16</v>
      </c>
      <c r="B2073" s="12">
        <v>230.8</v>
      </c>
      <c r="C2073" s="12">
        <v>14.9</v>
      </c>
      <c r="D2073" s="12">
        <v>4.74</v>
      </c>
      <c r="E2073" s="12">
        <v>0.4</v>
      </c>
      <c r="F2073" s="12">
        <v>50.0</v>
      </c>
      <c r="G2073" s="13">
        <v>44462.81472052084</v>
      </c>
      <c r="H2073" s="14">
        <f>IFERROR(__xludf.DUMMYFUNCTION("SPLIT(G2073, "", "")"),44462.0)</f>
        <v>44462</v>
      </c>
      <c r="I2073" s="15">
        <f>IFERROR(__xludf.DUMMYFUNCTION("""COMPUTED_VALUE"""),0.8147222222222222)</f>
        <v>0.8147222222</v>
      </c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</row>
    <row r="2074">
      <c r="A2074" s="12">
        <v>0.16</v>
      </c>
      <c r="B2074" s="12">
        <v>230.7</v>
      </c>
      <c r="C2074" s="12">
        <v>14.9</v>
      </c>
      <c r="D2074" s="12">
        <v>4.74</v>
      </c>
      <c r="E2074" s="12">
        <v>0.4</v>
      </c>
      <c r="F2074" s="12">
        <v>50.0</v>
      </c>
      <c r="G2074" s="13">
        <v>44462.8148203125</v>
      </c>
      <c r="H2074" s="14">
        <f>IFERROR(__xludf.DUMMYFUNCTION("SPLIT(G2074, "", "")"),44462.0)</f>
        <v>44462</v>
      </c>
      <c r="I2074" s="15">
        <f>IFERROR(__xludf.DUMMYFUNCTION("""COMPUTED_VALUE"""),0.8148148148148148)</f>
        <v>0.8148148148</v>
      </c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</row>
    <row r="2075">
      <c r="A2075" s="12">
        <v>0.16</v>
      </c>
      <c r="B2075" s="12">
        <v>230.7</v>
      </c>
      <c r="C2075" s="12">
        <v>14.9</v>
      </c>
      <c r="D2075" s="12">
        <v>4.74</v>
      </c>
      <c r="E2075" s="12">
        <v>0.39</v>
      </c>
      <c r="F2075" s="12">
        <v>49.9</v>
      </c>
      <c r="G2075" s="13">
        <v>44462.81492056713</v>
      </c>
      <c r="H2075" s="14">
        <f>IFERROR(__xludf.DUMMYFUNCTION("SPLIT(G2075, "", "")"),44462.0)</f>
        <v>44462</v>
      </c>
      <c r="I2075" s="15">
        <f>IFERROR(__xludf.DUMMYFUNCTION("""COMPUTED_VALUE"""),0.8149189814814815)</f>
        <v>0.8149189815</v>
      </c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</row>
    <row r="2076">
      <c r="A2076" s="12">
        <v>0.16</v>
      </c>
      <c r="B2076" s="12">
        <v>230.8</v>
      </c>
      <c r="C2076" s="12">
        <v>14.9</v>
      </c>
      <c r="D2076" s="12">
        <v>4.74</v>
      </c>
      <c r="E2076" s="12">
        <v>0.4</v>
      </c>
      <c r="F2076" s="12">
        <v>50.0</v>
      </c>
      <c r="G2076" s="13">
        <v>44462.81502443287</v>
      </c>
      <c r="H2076" s="14">
        <f>IFERROR(__xludf.DUMMYFUNCTION("SPLIT(G2076, "", "")"),44462.0)</f>
        <v>44462</v>
      </c>
      <c r="I2076" s="15">
        <f>IFERROR(__xludf.DUMMYFUNCTION("""COMPUTED_VALUE"""),0.8150231481481481)</f>
        <v>0.8150231481</v>
      </c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</row>
    <row r="2077">
      <c r="A2077" s="12">
        <v>0.16</v>
      </c>
      <c r="B2077" s="12">
        <v>229.7</v>
      </c>
      <c r="C2077" s="12">
        <v>14.3</v>
      </c>
      <c r="D2077" s="12">
        <v>4.74</v>
      </c>
      <c r="E2077" s="12">
        <v>0.39</v>
      </c>
      <c r="F2077" s="12">
        <v>49.9</v>
      </c>
      <c r="G2077" s="13">
        <v>44462.815130717594</v>
      </c>
      <c r="H2077" s="14">
        <f>IFERROR(__xludf.DUMMYFUNCTION("SPLIT(G2077, "", "")"),44462.0)</f>
        <v>44462</v>
      </c>
      <c r="I2077" s="15">
        <f>IFERROR(__xludf.DUMMYFUNCTION("""COMPUTED_VALUE"""),0.8151273148148148)</f>
        <v>0.8151273148</v>
      </c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</row>
    <row r="2078">
      <c r="A2078" s="12">
        <v>0.16</v>
      </c>
      <c r="B2078" s="12">
        <v>229.5</v>
      </c>
      <c r="C2078" s="12">
        <v>14.2</v>
      </c>
      <c r="D2078" s="12">
        <v>4.74</v>
      </c>
      <c r="E2078" s="12">
        <v>0.38</v>
      </c>
      <c r="F2078" s="12">
        <v>50.0</v>
      </c>
      <c r="G2078" s="13">
        <v>44462.815240254626</v>
      </c>
      <c r="H2078" s="14">
        <f>IFERROR(__xludf.DUMMYFUNCTION("SPLIT(G2078, "", "")"),44462.0)</f>
        <v>44462</v>
      </c>
      <c r="I2078" s="15">
        <f>IFERROR(__xludf.DUMMYFUNCTION("""COMPUTED_VALUE"""),0.8152430555555555)</f>
        <v>0.8152430556</v>
      </c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</row>
    <row r="2079">
      <c r="A2079" s="12">
        <v>0.16</v>
      </c>
      <c r="B2079" s="12">
        <v>229.6</v>
      </c>
      <c r="C2079" s="12">
        <v>14.3</v>
      </c>
      <c r="D2079" s="12">
        <v>4.74</v>
      </c>
      <c r="E2079" s="12">
        <v>0.39</v>
      </c>
      <c r="F2079" s="12">
        <v>50.0</v>
      </c>
      <c r="G2079" s="13">
        <v>44462.815346655094</v>
      </c>
      <c r="H2079" s="14">
        <f>IFERROR(__xludf.DUMMYFUNCTION("SPLIT(G2079, "", "")"),44462.0)</f>
        <v>44462</v>
      </c>
      <c r="I2079" s="15">
        <f>IFERROR(__xludf.DUMMYFUNCTION("""COMPUTED_VALUE"""),0.8153472222222222)</f>
        <v>0.8153472222</v>
      </c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</row>
    <row r="2080">
      <c r="A2080" s="12">
        <v>0.16</v>
      </c>
      <c r="B2080" s="12">
        <v>229.7</v>
      </c>
      <c r="C2080" s="12">
        <v>14.4</v>
      </c>
      <c r="D2080" s="12">
        <v>4.74</v>
      </c>
      <c r="E2080" s="12">
        <v>0.39</v>
      </c>
      <c r="F2080" s="12">
        <v>50.0</v>
      </c>
      <c r="G2080" s="13">
        <v>44462.81545105324</v>
      </c>
      <c r="H2080" s="14">
        <f>IFERROR(__xludf.DUMMYFUNCTION("SPLIT(G2080, "", "")"),44462.0)</f>
        <v>44462</v>
      </c>
      <c r="I2080" s="15">
        <f>IFERROR(__xludf.DUMMYFUNCTION("""COMPUTED_VALUE"""),0.8154513888888889)</f>
        <v>0.8154513889</v>
      </c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</row>
    <row r="2081">
      <c r="A2081" s="12">
        <v>0.16</v>
      </c>
      <c r="B2081" s="12">
        <v>229.7</v>
      </c>
      <c r="C2081" s="12">
        <v>14.4</v>
      </c>
      <c r="D2081" s="12">
        <v>4.74</v>
      </c>
      <c r="E2081" s="12">
        <v>0.39</v>
      </c>
      <c r="F2081" s="12">
        <v>50.0</v>
      </c>
      <c r="G2081" s="13">
        <v>44462.81555560185</v>
      </c>
      <c r="H2081" s="14">
        <f>IFERROR(__xludf.DUMMYFUNCTION("SPLIT(G2081, "", "")"),44462.0)</f>
        <v>44462</v>
      </c>
      <c r="I2081" s="15">
        <f>IFERROR(__xludf.DUMMYFUNCTION("""COMPUTED_VALUE"""),0.8155555555555556)</f>
        <v>0.8155555556</v>
      </c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</row>
    <row r="2082">
      <c r="A2082" s="12">
        <v>0.16</v>
      </c>
      <c r="B2082" s="12">
        <v>229.7</v>
      </c>
      <c r="C2082" s="12">
        <v>14.3</v>
      </c>
      <c r="D2082" s="12">
        <v>4.74</v>
      </c>
      <c r="E2082" s="12">
        <v>0.39</v>
      </c>
      <c r="F2082" s="12">
        <v>50.0</v>
      </c>
      <c r="G2082" s="13">
        <v>44462.815658645835</v>
      </c>
      <c r="H2082" s="14">
        <f>IFERROR(__xludf.DUMMYFUNCTION("SPLIT(G2082, "", "")"),44462.0)</f>
        <v>44462</v>
      </c>
      <c r="I2082" s="15">
        <f>IFERROR(__xludf.DUMMYFUNCTION("""COMPUTED_VALUE"""),0.8156597222222223)</f>
        <v>0.8156597222</v>
      </c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</row>
    <row r="2083">
      <c r="A2083" s="12">
        <v>0.16</v>
      </c>
      <c r="B2083" s="12">
        <v>229.7</v>
      </c>
      <c r="C2083" s="12">
        <v>14.3</v>
      </c>
      <c r="D2083" s="12">
        <v>4.74</v>
      </c>
      <c r="E2083" s="12">
        <v>0.39</v>
      </c>
      <c r="F2083" s="12">
        <v>50.0</v>
      </c>
      <c r="G2083" s="13">
        <v>44462.815759398145</v>
      </c>
      <c r="H2083" s="14">
        <f>IFERROR(__xludf.DUMMYFUNCTION("SPLIT(G2083, "", "")"),44462.0)</f>
        <v>44462</v>
      </c>
      <c r="I2083" s="15">
        <f>IFERROR(__xludf.DUMMYFUNCTION("""COMPUTED_VALUE"""),0.8157638888888888)</f>
        <v>0.8157638889</v>
      </c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</row>
    <row r="2084">
      <c r="A2084" s="12">
        <v>0.16</v>
      </c>
      <c r="B2084" s="12">
        <v>229.7</v>
      </c>
      <c r="C2084" s="12">
        <v>14.3</v>
      </c>
      <c r="D2084" s="12">
        <v>4.74</v>
      </c>
      <c r="E2084" s="12">
        <v>0.39</v>
      </c>
      <c r="F2084" s="12">
        <v>50.0</v>
      </c>
      <c r="G2084" s="13">
        <v>44462.81586224537</v>
      </c>
      <c r="H2084" s="14">
        <f>IFERROR(__xludf.DUMMYFUNCTION("SPLIT(G2084, "", "")"),44462.0)</f>
        <v>44462</v>
      </c>
      <c r="I2084" s="15">
        <f>IFERROR(__xludf.DUMMYFUNCTION("""COMPUTED_VALUE"""),0.8158564814814815)</f>
        <v>0.8158564815</v>
      </c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</row>
    <row r="2085">
      <c r="A2085" s="12">
        <v>0.16</v>
      </c>
      <c r="B2085" s="12">
        <v>229.8</v>
      </c>
      <c r="C2085" s="12">
        <v>14.3</v>
      </c>
      <c r="D2085" s="12">
        <v>4.74</v>
      </c>
      <c r="E2085" s="12">
        <v>0.39</v>
      </c>
      <c r="F2085" s="12">
        <v>50.0</v>
      </c>
      <c r="G2085" s="13">
        <v>44462.81596519676</v>
      </c>
      <c r="H2085" s="14">
        <f>IFERROR(__xludf.DUMMYFUNCTION("SPLIT(G2085, "", "")"),44462.0)</f>
        <v>44462</v>
      </c>
      <c r="I2085" s="15">
        <f>IFERROR(__xludf.DUMMYFUNCTION("""COMPUTED_VALUE"""),0.8159606481481482)</f>
        <v>0.8159606481</v>
      </c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</row>
    <row r="2086">
      <c r="A2086" s="12">
        <v>0.16</v>
      </c>
      <c r="B2086" s="12">
        <v>229.8</v>
      </c>
      <c r="C2086" s="12">
        <v>14.2</v>
      </c>
      <c r="D2086" s="12">
        <v>4.74</v>
      </c>
      <c r="E2086" s="12">
        <v>0.39</v>
      </c>
      <c r="F2086" s="12">
        <v>50.0</v>
      </c>
      <c r="G2086" s="13">
        <v>44462.81607027778</v>
      </c>
      <c r="H2086" s="14">
        <f>IFERROR(__xludf.DUMMYFUNCTION("SPLIT(G2086, "", "")"),44462.0)</f>
        <v>44462</v>
      </c>
      <c r="I2086" s="15">
        <f>IFERROR(__xludf.DUMMYFUNCTION("""COMPUTED_VALUE"""),0.8160648148148149)</f>
        <v>0.8160648148</v>
      </c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</row>
    <row r="2087">
      <c r="A2087" s="12">
        <v>0.16</v>
      </c>
      <c r="B2087" s="12">
        <v>229.8</v>
      </c>
      <c r="C2087" s="12">
        <v>14.3</v>
      </c>
      <c r="D2087" s="12">
        <v>4.74</v>
      </c>
      <c r="E2087" s="12">
        <v>0.38</v>
      </c>
      <c r="F2087" s="12">
        <v>50.0</v>
      </c>
      <c r="G2087" s="13">
        <v>44462.816179050926</v>
      </c>
      <c r="H2087" s="14">
        <f>IFERROR(__xludf.DUMMYFUNCTION("SPLIT(G2087, "", "")"),44462.0)</f>
        <v>44462</v>
      </c>
      <c r="I2087" s="15">
        <f>IFERROR(__xludf.DUMMYFUNCTION("""COMPUTED_VALUE"""),0.8161805555555556)</f>
        <v>0.8161805556</v>
      </c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</row>
    <row r="2088">
      <c r="A2088" s="12">
        <v>0.16</v>
      </c>
      <c r="B2088" s="12">
        <v>229.8</v>
      </c>
      <c r="C2088" s="12">
        <v>14.3</v>
      </c>
      <c r="D2088" s="12">
        <v>4.74</v>
      </c>
      <c r="E2088" s="12">
        <v>0.39</v>
      </c>
      <c r="F2088" s="12">
        <v>50.0</v>
      </c>
      <c r="G2088" s="13">
        <v>44462.816285567125</v>
      </c>
      <c r="H2088" s="14">
        <f>IFERROR(__xludf.DUMMYFUNCTION("SPLIT(G2088, "", "")"),44462.0)</f>
        <v>44462</v>
      </c>
      <c r="I2088" s="15">
        <f>IFERROR(__xludf.DUMMYFUNCTION("""COMPUTED_VALUE"""),0.8162847222222223)</f>
        <v>0.8162847222</v>
      </c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</row>
    <row r="2089">
      <c r="A2089" s="12">
        <v>0.16</v>
      </c>
      <c r="B2089" s="12">
        <v>229.7</v>
      </c>
      <c r="C2089" s="12">
        <v>14.1</v>
      </c>
      <c r="D2089" s="12">
        <v>4.74</v>
      </c>
      <c r="E2089" s="12">
        <v>0.39</v>
      </c>
      <c r="F2089" s="12">
        <v>50.0</v>
      </c>
      <c r="G2089" s="13">
        <v>44462.81638631945</v>
      </c>
      <c r="H2089" s="14">
        <f>IFERROR(__xludf.DUMMYFUNCTION("SPLIT(G2089, "", "")"),44462.0)</f>
        <v>44462</v>
      </c>
      <c r="I2089" s="15">
        <f>IFERROR(__xludf.DUMMYFUNCTION("""COMPUTED_VALUE"""),0.8163888888888889)</f>
        <v>0.8163888889</v>
      </c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</row>
    <row r="2090">
      <c r="A2090" s="12">
        <v>0.16</v>
      </c>
      <c r="B2090" s="12">
        <v>229.7</v>
      </c>
      <c r="C2090" s="12">
        <v>14.2</v>
      </c>
      <c r="D2090" s="12">
        <v>4.74</v>
      </c>
      <c r="E2090" s="12">
        <v>0.39</v>
      </c>
      <c r="F2090" s="12">
        <v>50.0</v>
      </c>
      <c r="G2090" s="13">
        <v>44462.816486655094</v>
      </c>
      <c r="H2090" s="14">
        <f>IFERROR(__xludf.DUMMYFUNCTION("SPLIT(G2090, "", "")"),44462.0)</f>
        <v>44462</v>
      </c>
      <c r="I2090" s="15">
        <f>IFERROR(__xludf.DUMMYFUNCTION("""COMPUTED_VALUE"""),0.8164814814814815)</f>
        <v>0.8164814815</v>
      </c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</row>
    <row r="2091">
      <c r="A2091" s="12">
        <v>0.16</v>
      </c>
      <c r="B2091" s="12">
        <v>229.8</v>
      </c>
      <c r="C2091" s="12">
        <v>14.2</v>
      </c>
      <c r="D2091" s="12">
        <v>4.74</v>
      </c>
      <c r="E2091" s="12">
        <v>0.39</v>
      </c>
      <c r="F2091" s="12">
        <v>50.0</v>
      </c>
      <c r="G2091" s="13">
        <v>44462.81659987268</v>
      </c>
      <c r="H2091" s="14">
        <f>IFERROR(__xludf.DUMMYFUNCTION("SPLIT(G2091, "", "")"),44462.0)</f>
        <v>44462</v>
      </c>
      <c r="I2091" s="15">
        <f>IFERROR(__xludf.DUMMYFUNCTION("""COMPUTED_VALUE"""),0.8165972222222222)</f>
        <v>0.8165972222</v>
      </c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</row>
    <row r="2092">
      <c r="A2092" s="12">
        <v>0.16</v>
      </c>
      <c r="B2092" s="12">
        <v>230.2</v>
      </c>
      <c r="C2092" s="12">
        <v>14.3</v>
      </c>
      <c r="D2092" s="12">
        <v>4.74</v>
      </c>
      <c r="E2092" s="12">
        <v>0.39</v>
      </c>
      <c r="F2092" s="12">
        <v>50.0</v>
      </c>
      <c r="G2092" s="13">
        <v>44462.81671038194</v>
      </c>
      <c r="H2092" s="14">
        <f>IFERROR(__xludf.DUMMYFUNCTION("SPLIT(G2092, "", "")"),44462.0)</f>
        <v>44462</v>
      </c>
      <c r="I2092" s="15">
        <f>IFERROR(__xludf.DUMMYFUNCTION("""COMPUTED_VALUE"""),0.8167129629629629)</f>
        <v>0.816712963</v>
      </c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</row>
    <row r="2093">
      <c r="A2093" s="12">
        <v>0.16</v>
      </c>
      <c r="B2093" s="12">
        <v>230.3</v>
      </c>
      <c r="C2093" s="12">
        <v>14.3</v>
      </c>
      <c r="D2093" s="12">
        <v>4.74</v>
      </c>
      <c r="E2093" s="12">
        <v>0.39</v>
      </c>
      <c r="F2093" s="12">
        <v>50.0</v>
      </c>
      <c r="G2093" s="13">
        <v>44462.81681189815</v>
      </c>
      <c r="H2093" s="14">
        <f>IFERROR(__xludf.DUMMYFUNCTION("SPLIT(G2093, "", "")"),44462.0)</f>
        <v>44462</v>
      </c>
      <c r="I2093" s="15">
        <f>IFERROR(__xludf.DUMMYFUNCTION("""COMPUTED_VALUE"""),0.8168171296296296)</f>
        <v>0.8168171296</v>
      </c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</row>
    <row r="2094">
      <c r="A2094" s="12">
        <v>0.16</v>
      </c>
      <c r="B2094" s="12">
        <v>230.4</v>
      </c>
      <c r="C2094" s="12">
        <v>14.4</v>
      </c>
      <c r="D2094" s="12">
        <v>4.74</v>
      </c>
      <c r="E2094" s="12">
        <v>0.39</v>
      </c>
      <c r="F2094" s="12">
        <v>49.9</v>
      </c>
      <c r="G2094" s="13">
        <v>44462.81692075232</v>
      </c>
      <c r="H2094" s="14">
        <f>IFERROR(__xludf.DUMMYFUNCTION("SPLIT(G2094, "", "")"),44462.0)</f>
        <v>44462</v>
      </c>
      <c r="I2094" s="15">
        <f>IFERROR(__xludf.DUMMYFUNCTION("""COMPUTED_VALUE"""),0.8169212962962963)</f>
        <v>0.8169212963</v>
      </c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</row>
    <row r="2095">
      <c r="A2095" s="12">
        <v>0.16</v>
      </c>
      <c r="B2095" s="12">
        <v>230.3</v>
      </c>
      <c r="C2095" s="12">
        <v>14.3</v>
      </c>
      <c r="D2095" s="12">
        <v>4.74</v>
      </c>
      <c r="E2095" s="12">
        <v>0.39</v>
      </c>
      <c r="F2095" s="12">
        <v>49.9</v>
      </c>
      <c r="G2095" s="13">
        <v>44462.817025613425</v>
      </c>
      <c r="H2095" s="14">
        <f>IFERROR(__xludf.DUMMYFUNCTION("SPLIT(G2095, "", "")"),44462.0)</f>
        <v>44462</v>
      </c>
      <c r="I2095" s="15">
        <f>IFERROR(__xludf.DUMMYFUNCTION("""COMPUTED_VALUE"""),0.817025462962963)</f>
        <v>0.817025463</v>
      </c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</row>
    <row r="2096">
      <c r="A2096" s="12">
        <v>0.16</v>
      </c>
      <c r="B2096" s="12">
        <v>230.3</v>
      </c>
      <c r="C2096" s="12">
        <v>14.2</v>
      </c>
      <c r="D2096" s="12">
        <v>4.74</v>
      </c>
      <c r="E2096" s="12">
        <v>0.39</v>
      </c>
      <c r="F2096" s="12">
        <v>49.9</v>
      </c>
      <c r="G2096" s="13">
        <v>44462.81712891204</v>
      </c>
      <c r="H2096" s="14">
        <f>IFERROR(__xludf.DUMMYFUNCTION("SPLIT(G2096, "", "")"),44462.0)</f>
        <v>44462</v>
      </c>
      <c r="I2096" s="15">
        <f>IFERROR(__xludf.DUMMYFUNCTION("""COMPUTED_VALUE"""),0.8171296296296297)</f>
        <v>0.8171296296</v>
      </c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</row>
    <row r="2097">
      <c r="A2097" s="12">
        <v>0.16</v>
      </c>
      <c r="B2097" s="12">
        <v>230.4</v>
      </c>
      <c r="C2097" s="12">
        <v>14.3</v>
      </c>
      <c r="D2097" s="12">
        <v>4.74</v>
      </c>
      <c r="E2097" s="12">
        <v>0.39</v>
      </c>
      <c r="F2097" s="12">
        <v>49.9</v>
      </c>
      <c r="G2097" s="13">
        <v>44462.81723458333</v>
      </c>
      <c r="H2097" s="14">
        <f>IFERROR(__xludf.DUMMYFUNCTION("SPLIT(G2097, "", "")"),44462.0)</f>
        <v>44462</v>
      </c>
      <c r="I2097" s="15">
        <f>IFERROR(__xludf.DUMMYFUNCTION("""COMPUTED_VALUE"""),0.8172337962962963)</f>
        <v>0.8172337963</v>
      </c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</row>
    <row r="2098">
      <c r="A2098" s="12">
        <v>0.16</v>
      </c>
      <c r="B2098" s="12">
        <v>230.4</v>
      </c>
      <c r="C2098" s="12">
        <v>14.2</v>
      </c>
      <c r="D2098" s="12">
        <v>4.74</v>
      </c>
      <c r="E2098" s="12">
        <v>0.39</v>
      </c>
      <c r="F2098" s="12">
        <v>50.0</v>
      </c>
      <c r="G2098" s="13">
        <v>44462.81734006944</v>
      </c>
      <c r="H2098" s="14">
        <f>IFERROR(__xludf.DUMMYFUNCTION("SPLIT(G2098, "", "")"),44462.0)</f>
        <v>44462</v>
      </c>
      <c r="I2098" s="15">
        <f>IFERROR(__xludf.DUMMYFUNCTION("""COMPUTED_VALUE"""),0.817337962962963)</f>
        <v>0.817337963</v>
      </c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</row>
    <row r="2099">
      <c r="A2099" s="12">
        <v>0.16</v>
      </c>
      <c r="B2099" s="12">
        <v>230.1</v>
      </c>
      <c r="C2099" s="12">
        <v>14.1</v>
      </c>
      <c r="D2099" s="12">
        <v>4.74</v>
      </c>
      <c r="E2099" s="12">
        <v>0.39</v>
      </c>
      <c r="F2099" s="12">
        <v>50.0</v>
      </c>
      <c r="G2099" s="13">
        <v>44462.817440115745</v>
      </c>
      <c r="H2099" s="14">
        <f>IFERROR(__xludf.DUMMYFUNCTION("SPLIT(G2099, "", "")"),44462.0)</f>
        <v>44462</v>
      </c>
      <c r="I2099" s="15">
        <f>IFERROR(__xludf.DUMMYFUNCTION("""COMPUTED_VALUE"""),0.8174421296296296)</f>
        <v>0.8174421296</v>
      </c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</row>
    <row r="2100">
      <c r="A2100" s="12">
        <v>0.16</v>
      </c>
      <c r="B2100" s="12">
        <v>230.4</v>
      </c>
      <c r="C2100" s="12">
        <v>14.3</v>
      </c>
      <c r="D2100" s="12">
        <v>4.74</v>
      </c>
      <c r="E2100" s="12">
        <v>0.39</v>
      </c>
      <c r="F2100" s="12">
        <v>50.0</v>
      </c>
      <c r="G2100" s="13">
        <v>44462.81754053241</v>
      </c>
      <c r="H2100" s="14">
        <f>IFERROR(__xludf.DUMMYFUNCTION("SPLIT(G2100, "", "")"),44462.0)</f>
        <v>44462</v>
      </c>
      <c r="I2100" s="15">
        <f>IFERROR(__xludf.DUMMYFUNCTION("""COMPUTED_VALUE"""),0.8175462962962963)</f>
        <v>0.8175462963</v>
      </c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</row>
    <row r="2101">
      <c r="A2101" s="12">
        <v>0.16</v>
      </c>
      <c r="B2101" s="12">
        <v>230.4</v>
      </c>
      <c r="C2101" s="12">
        <v>14.2</v>
      </c>
      <c r="D2101" s="12">
        <v>4.74</v>
      </c>
      <c r="E2101" s="12">
        <v>0.39</v>
      </c>
      <c r="F2101" s="12">
        <v>50.0</v>
      </c>
      <c r="G2101" s="13">
        <v>44462.817640497684</v>
      </c>
      <c r="H2101" s="14">
        <f>IFERROR(__xludf.DUMMYFUNCTION("SPLIT(G2101, "", "")"),44462.0)</f>
        <v>44462</v>
      </c>
      <c r="I2101" s="15">
        <f>IFERROR(__xludf.DUMMYFUNCTION("""COMPUTED_VALUE"""),0.8176388888888889)</f>
        <v>0.8176388889</v>
      </c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</row>
    <row r="2102">
      <c r="A2102" s="12">
        <v>0.16</v>
      </c>
      <c r="B2102" s="12">
        <v>230.5</v>
      </c>
      <c r="C2102" s="12">
        <v>14.2</v>
      </c>
      <c r="D2102" s="12">
        <v>4.74</v>
      </c>
      <c r="E2102" s="12">
        <v>0.39</v>
      </c>
      <c r="F2102" s="12">
        <v>50.0</v>
      </c>
      <c r="G2102" s="13">
        <v>44462.81774288195</v>
      </c>
      <c r="H2102" s="14">
        <f>IFERROR(__xludf.DUMMYFUNCTION("SPLIT(G2102, "", "")"),44462.0)</f>
        <v>44462</v>
      </c>
      <c r="I2102" s="15">
        <f>IFERROR(__xludf.DUMMYFUNCTION("""COMPUTED_VALUE"""),0.8177430555555556)</f>
        <v>0.8177430556</v>
      </c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</row>
    <row r="2103">
      <c r="A2103" s="12">
        <v>0.16</v>
      </c>
      <c r="B2103" s="12">
        <v>230.6</v>
      </c>
      <c r="C2103" s="12">
        <v>14.3</v>
      </c>
      <c r="D2103" s="12">
        <v>4.74</v>
      </c>
      <c r="E2103" s="12">
        <v>0.39</v>
      </c>
      <c r="F2103" s="12">
        <v>50.0</v>
      </c>
      <c r="G2103" s="13">
        <v>44462.817845011574</v>
      </c>
      <c r="H2103" s="14">
        <f>IFERROR(__xludf.DUMMYFUNCTION("SPLIT(G2103, "", "")"),44462.0)</f>
        <v>44462</v>
      </c>
      <c r="I2103" s="15">
        <f>IFERROR(__xludf.DUMMYFUNCTION("""COMPUTED_VALUE"""),0.8178472222222222)</f>
        <v>0.8178472222</v>
      </c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</row>
    <row r="2104">
      <c r="A2104" s="12">
        <v>0.16</v>
      </c>
      <c r="B2104" s="12">
        <v>230.5</v>
      </c>
      <c r="C2104" s="12">
        <v>14.2</v>
      </c>
      <c r="D2104" s="12">
        <v>4.75</v>
      </c>
      <c r="E2104" s="12">
        <v>0.39</v>
      </c>
      <c r="F2104" s="12">
        <v>50.0</v>
      </c>
      <c r="G2104" s="13">
        <v>44462.81794986111</v>
      </c>
      <c r="H2104" s="14">
        <f>IFERROR(__xludf.DUMMYFUNCTION("SPLIT(G2104, "", "")"),44462.0)</f>
        <v>44462</v>
      </c>
      <c r="I2104" s="15">
        <f>IFERROR(__xludf.DUMMYFUNCTION("""COMPUTED_VALUE"""),0.8179513888888889)</f>
        <v>0.8179513889</v>
      </c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</row>
    <row r="2105">
      <c r="A2105" s="12">
        <v>0.16</v>
      </c>
      <c r="B2105" s="12">
        <v>230.5</v>
      </c>
      <c r="C2105" s="12">
        <v>14.2</v>
      </c>
      <c r="D2105" s="12">
        <v>4.75</v>
      </c>
      <c r="E2105" s="12">
        <v>0.39</v>
      </c>
      <c r="F2105" s="12">
        <v>50.0</v>
      </c>
      <c r="G2105" s="13">
        <v>44462.81805913194</v>
      </c>
      <c r="H2105" s="14">
        <f>IFERROR(__xludf.DUMMYFUNCTION("SPLIT(G2105, "", "")"),44462.0)</f>
        <v>44462</v>
      </c>
      <c r="I2105" s="15">
        <f>IFERROR(__xludf.DUMMYFUNCTION("""COMPUTED_VALUE"""),0.8180555555555555)</f>
        <v>0.8180555556</v>
      </c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</row>
    <row r="2106">
      <c r="A2106" s="12">
        <v>0.16</v>
      </c>
      <c r="B2106" s="12">
        <v>230.5</v>
      </c>
      <c r="C2106" s="12">
        <v>14.2</v>
      </c>
      <c r="D2106" s="12">
        <v>4.75</v>
      </c>
      <c r="E2106" s="12">
        <v>0.39</v>
      </c>
      <c r="F2106" s="12">
        <v>50.0</v>
      </c>
      <c r="G2106" s="13">
        <v>44462.81816248843</v>
      </c>
      <c r="H2106" s="14">
        <f>IFERROR(__xludf.DUMMYFUNCTION("SPLIT(G2106, "", "")"),44462.0)</f>
        <v>44462</v>
      </c>
      <c r="I2106" s="15">
        <f>IFERROR(__xludf.DUMMYFUNCTION("""COMPUTED_VALUE"""),0.8181597222222222)</f>
        <v>0.8181597222</v>
      </c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</row>
    <row r="2107">
      <c r="A2107" s="12">
        <v>0.16</v>
      </c>
      <c r="B2107" s="12">
        <v>230.5</v>
      </c>
      <c r="C2107" s="12">
        <v>14.1</v>
      </c>
      <c r="D2107" s="12">
        <v>4.75</v>
      </c>
      <c r="E2107" s="12">
        <v>0.39</v>
      </c>
      <c r="F2107" s="12">
        <v>50.0</v>
      </c>
      <c r="G2107" s="13">
        <v>44462.81826384259</v>
      </c>
      <c r="H2107" s="14">
        <f>IFERROR(__xludf.DUMMYFUNCTION("SPLIT(G2107, "", "")"),44462.0)</f>
        <v>44462</v>
      </c>
      <c r="I2107" s="15">
        <f>IFERROR(__xludf.DUMMYFUNCTION("""COMPUTED_VALUE"""),0.8182638888888889)</f>
        <v>0.8182638889</v>
      </c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</row>
    <row r="2108">
      <c r="A2108" s="12">
        <v>0.16</v>
      </c>
      <c r="B2108" s="12">
        <v>230.2</v>
      </c>
      <c r="C2108" s="12">
        <v>14.0</v>
      </c>
      <c r="D2108" s="12">
        <v>4.75</v>
      </c>
      <c r="E2108" s="12">
        <v>0.39</v>
      </c>
      <c r="F2108" s="12">
        <v>50.0</v>
      </c>
      <c r="G2108" s="13">
        <v>44462.81836859953</v>
      </c>
      <c r="H2108" s="14">
        <f>IFERROR(__xludf.DUMMYFUNCTION("SPLIT(G2108, "", "")"),44462.0)</f>
        <v>44462</v>
      </c>
      <c r="I2108" s="15">
        <f>IFERROR(__xludf.DUMMYFUNCTION("""COMPUTED_VALUE"""),0.8183680555555556)</f>
        <v>0.8183680556</v>
      </c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</row>
    <row r="2109">
      <c r="A2109" s="12">
        <v>0.16</v>
      </c>
      <c r="B2109" s="12">
        <v>230.2</v>
      </c>
      <c r="C2109" s="12">
        <v>14.0</v>
      </c>
      <c r="D2109" s="12">
        <v>4.75</v>
      </c>
      <c r="E2109" s="12">
        <v>0.39</v>
      </c>
      <c r="F2109" s="12">
        <v>50.0</v>
      </c>
      <c r="G2109" s="13">
        <v>44462.81847423611</v>
      </c>
      <c r="H2109" s="14">
        <f>IFERROR(__xludf.DUMMYFUNCTION("SPLIT(G2109, "", "")"),44462.0)</f>
        <v>44462</v>
      </c>
      <c r="I2109" s="15">
        <f>IFERROR(__xludf.DUMMYFUNCTION("""COMPUTED_VALUE"""),0.8184722222222223)</f>
        <v>0.8184722222</v>
      </c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</row>
    <row r="2110">
      <c r="A2110" s="12">
        <v>0.16</v>
      </c>
      <c r="B2110" s="12">
        <v>230.2</v>
      </c>
      <c r="C2110" s="12">
        <v>13.9</v>
      </c>
      <c r="D2110" s="12">
        <v>4.75</v>
      </c>
      <c r="E2110" s="12">
        <v>0.39</v>
      </c>
      <c r="F2110" s="12">
        <v>49.9</v>
      </c>
      <c r="G2110" s="13">
        <v>44462.81858678241</v>
      </c>
      <c r="H2110" s="14">
        <f>IFERROR(__xludf.DUMMYFUNCTION("SPLIT(G2110, "", "")"),44462.0)</f>
        <v>44462</v>
      </c>
      <c r="I2110" s="15">
        <f>IFERROR(__xludf.DUMMYFUNCTION("""COMPUTED_VALUE"""),0.818587962962963)</f>
        <v>0.818587963</v>
      </c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</row>
    <row r="2111">
      <c r="A2111" s="12">
        <v>0.16</v>
      </c>
      <c r="B2111" s="12">
        <v>230.2</v>
      </c>
      <c r="C2111" s="12">
        <v>13.9</v>
      </c>
      <c r="D2111" s="12">
        <v>4.75</v>
      </c>
      <c r="E2111" s="12">
        <v>0.38</v>
      </c>
      <c r="F2111" s="12">
        <v>50.0</v>
      </c>
      <c r="G2111" s="13">
        <v>44462.81868980324</v>
      </c>
      <c r="H2111" s="14">
        <f>IFERROR(__xludf.DUMMYFUNCTION("SPLIT(G2111, "", "")"),44462.0)</f>
        <v>44462</v>
      </c>
      <c r="I2111" s="15">
        <f>IFERROR(__xludf.DUMMYFUNCTION("""COMPUTED_VALUE"""),0.8186921296296297)</f>
        <v>0.8186921296</v>
      </c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</row>
    <row r="2112">
      <c r="A2112" s="12">
        <v>0.16</v>
      </c>
      <c r="B2112" s="12">
        <v>230.3</v>
      </c>
      <c r="C2112" s="12">
        <v>13.9</v>
      </c>
      <c r="D2112" s="12">
        <v>4.75</v>
      </c>
      <c r="E2112" s="12">
        <v>0.39</v>
      </c>
      <c r="F2112" s="12">
        <v>50.0</v>
      </c>
      <c r="G2112" s="13">
        <v>44462.818793136576</v>
      </c>
      <c r="H2112" s="14">
        <f>IFERROR(__xludf.DUMMYFUNCTION("SPLIT(G2112, "", "")"),44462.0)</f>
        <v>44462</v>
      </c>
      <c r="I2112" s="15">
        <f>IFERROR(__xludf.DUMMYFUNCTION("""COMPUTED_VALUE"""),0.8187962962962962)</f>
        <v>0.8187962963</v>
      </c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</row>
    <row r="2113">
      <c r="A2113" s="12">
        <v>0.16</v>
      </c>
      <c r="B2113" s="12">
        <v>230.2</v>
      </c>
      <c r="C2113" s="12">
        <v>13.8</v>
      </c>
      <c r="D2113" s="12">
        <v>4.75</v>
      </c>
      <c r="E2113" s="12">
        <v>0.38</v>
      </c>
      <c r="F2113" s="12">
        <v>50.0</v>
      </c>
      <c r="G2113" s="13">
        <v>44462.81889971065</v>
      </c>
      <c r="H2113" s="14">
        <f>IFERROR(__xludf.DUMMYFUNCTION("SPLIT(G2113, "", "")"),44462.0)</f>
        <v>44462</v>
      </c>
      <c r="I2113" s="15">
        <f>IFERROR(__xludf.DUMMYFUNCTION("""COMPUTED_VALUE"""),0.8189004629629629)</f>
        <v>0.818900463</v>
      </c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</row>
    <row r="2114">
      <c r="A2114" s="12">
        <v>0.16</v>
      </c>
      <c r="B2114" s="12">
        <v>230.2</v>
      </c>
      <c r="C2114" s="12">
        <v>13.8</v>
      </c>
      <c r="D2114" s="12">
        <v>4.75</v>
      </c>
      <c r="E2114" s="12">
        <v>0.38</v>
      </c>
      <c r="F2114" s="12">
        <v>50.0</v>
      </c>
      <c r="G2114" s="13">
        <v>44462.819004907404</v>
      </c>
      <c r="H2114" s="14">
        <f>IFERROR(__xludf.DUMMYFUNCTION("SPLIT(G2114, "", "")"),44462.0)</f>
        <v>44462</v>
      </c>
      <c r="I2114" s="15">
        <f>IFERROR(__xludf.DUMMYFUNCTION("""COMPUTED_VALUE"""),0.8190046296296296)</f>
        <v>0.8190046296</v>
      </c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</row>
    <row r="2115">
      <c r="A2115" s="12">
        <v>0.16</v>
      </c>
      <c r="B2115" s="12">
        <v>230.3</v>
      </c>
      <c r="C2115" s="12">
        <v>13.8</v>
      </c>
      <c r="D2115" s="12">
        <v>4.75</v>
      </c>
      <c r="E2115" s="12">
        <v>0.38</v>
      </c>
      <c r="F2115" s="12">
        <v>50.0</v>
      </c>
      <c r="G2115" s="13">
        <v>44462.819113136575</v>
      </c>
      <c r="H2115" s="14">
        <f>IFERROR(__xludf.DUMMYFUNCTION("SPLIT(G2115, "", "")"),44462.0)</f>
        <v>44462</v>
      </c>
      <c r="I2115" s="15">
        <f>IFERROR(__xludf.DUMMYFUNCTION("""COMPUTED_VALUE"""),0.8191087962962963)</f>
        <v>0.8191087963</v>
      </c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</row>
    <row r="2116">
      <c r="A2116" s="12">
        <v>0.16</v>
      </c>
      <c r="B2116" s="12">
        <v>230.2</v>
      </c>
      <c r="C2116" s="12">
        <v>13.8</v>
      </c>
      <c r="D2116" s="12">
        <v>4.75</v>
      </c>
      <c r="E2116" s="12">
        <v>0.39</v>
      </c>
      <c r="F2116" s="12">
        <v>50.0</v>
      </c>
      <c r="G2116" s="13">
        <v>44462.81922148148</v>
      </c>
      <c r="H2116" s="14">
        <f>IFERROR(__xludf.DUMMYFUNCTION("SPLIT(G2116, "", "")"),44462.0)</f>
        <v>44462</v>
      </c>
      <c r="I2116" s="15">
        <f>IFERROR(__xludf.DUMMYFUNCTION("""COMPUTED_VALUE"""),0.819224537037037)</f>
        <v>0.819224537</v>
      </c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</row>
    <row r="2117">
      <c r="A2117" s="12">
        <v>0.16</v>
      </c>
      <c r="B2117" s="12">
        <v>230.2</v>
      </c>
      <c r="C2117" s="12">
        <v>13.8</v>
      </c>
      <c r="D2117" s="12">
        <v>4.75</v>
      </c>
      <c r="E2117" s="12">
        <v>0.39</v>
      </c>
      <c r="F2117" s="12">
        <v>50.0</v>
      </c>
      <c r="G2117" s="13">
        <v>44462.819330370374</v>
      </c>
      <c r="H2117" s="14">
        <f>IFERROR(__xludf.DUMMYFUNCTION("SPLIT(G2117, "", "")"),44462.0)</f>
        <v>44462</v>
      </c>
      <c r="I2117" s="15">
        <f>IFERROR(__xludf.DUMMYFUNCTION("""COMPUTED_VALUE"""),0.8193287037037037)</f>
        <v>0.8193287037</v>
      </c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</row>
    <row r="2118">
      <c r="A2118" s="12">
        <v>0.15</v>
      </c>
      <c r="B2118" s="12">
        <v>230.2</v>
      </c>
      <c r="C2118" s="12">
        <v>13.6</v>
      </c>
      <c r="D2118" s="12">
        <v>4.75</v>
      </c>
      <c r="E2118" s="12">
        <v>0.38</v>
      </c>
      <c r="F2118" s="12">
        <v>50.0</v>
      </c>
      <c r="G2118" s="13">
        <v>44462.81952584491</v>
      </c>
      <c r="H2118" s="14">
        <f>IFERROR(__xludf.DUMMYFUNCTION("SPLIT(G2118, "", "")"),44462.0)</f>
        <v>44462</v>
      </c>
      <c r="I2118" s="15">
        <f>IFERROR(__xludf.DUMMYFUNCTION("""COMPUTED_VALUE"""),0.8195254629629629)</f>
        <v>0.819525463</v>
      </c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</row>
    <row r="2119">
      <c r="A2119" s="12">
        <v>0.15</v>
      </c>
      <c r="B2119" s="12">
        <v>230.1</v>
      </c>
      <c r="C2119" s="12">
        <v>13.6</v>
      </c>
      <c r="D2119" s="12">
        <v>4.75</v>
      </c>
      <c r="E2119" s="12">
        <v>0.39</v>
      </c>
      <c r="F2119" s="12">
        <v>49.9</v>
      </c>
      <c r="G2119" s="13">
        <v>44462.81962929398</v>
      </c>
      <c r="H2119" s="14">
        <f>IFERROR(__xludf.DUMMYFUNCTION("SPLIT(G2119, "", "")"),44462.0)</f>
        <v>44462</v>
      </c>
      <c r="I2119" s="15">
        <f>IFERROR(__xludf.DUMMYFUNCTION("""COMPUTED_VALUE"""),0.8196296296296296)</f>
        <v>0.8196296296</v>
      </c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</row>
    <row r="2120">
      <c r="A2120" s="12">
        <v>0.15</v>
      </c>
      <c r="B2120" s="12">
        <v>230.2</v>
      </c>
      <c r="C2120" s="12">
        <v>13.6</v>
      </c>
      <c r="D2120" s="12">
        <v>4.75</v>
      </c>
      <c r="E2120" s="12">
        <v>0.39</v>
      </c>
      <c r="F2120" s="12">
        <v>50.0</v>
      </c>
      <c r="G2120" s="13">
        <v>44462.81976528935</v>
      </c>
      <c r="H2120" s="14">
        <f>IFERROR(__xludf.DUMMYFUNCTION("SPLIT(G2120, "", "")"),44462.0)</f>
        <v>44462</v>
      </c>
      <c r="I2120" s="15">
        <f>IFERROR(__xludf.DUMMYFUNCTION("""COMPUTED_VALUE"""),0.8197685185185185)</f>
        <v>0.8197685185</v>
      </c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</row>
    <row r="2121">
      <c r="A2121" s="12">
        <v>0.15</v>
      </c>
      <c r="B2121" s="12">
        <v>230.4</v>
      </c>
      <c r="C2121" s="12">
        <v>13.7</v>
      </c>
      <c r="D2121" s="12">
        <v>4.75</v>
      </c>
      <c r="E2121" s="12">
        <v>0.39</v>
      </c>
      <c r="F2121" s="12">
        <v>50.0</v>
      </c>
      <c r="G2121" s="13">
        <v>44462.81987266203</v>
      </c>
      <c r="H2121" s="14">
        <f>IFERROR(__xludf.DUMMYFUNCTION("SPLIT(G2121, "", "")"),44462.0)</f>
        <v>44462</v>
      </c>
      <c r="I2121" s="15">
        <f>IFERROR(__xludf.DUMMYFUNCTION("""COMPUTED_VALUE"""),0.8198726851851852)</f>
        <v>0.8198726852</v>
      </c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</row>
    <row r="2122">
      <c r="A2122" s="12">
        <v>0.15</v>
      </c>
      <c r="B2122" s="12">
        <v>230.3</v>
      </c>
      <c r="C2122" s="12">
        <v>13.7</v>
      </c>
      <c r="D2122" s="12">
        <v>4.75</v>
      </c>
      <c r="E2122" s="12">
        <v>0.39</v>
      </c>
      <c r="F2122" s="12">
        <v>50.0</v>
      </c>
      <c r="G2122" s="13">
        <v>44462.81997480324</v>
      </c>
      <c r="H2122" s="14">
        <f>IFERROR(__xludf.DUMMYFUNCTION("SPLIT(G2122, "", "")"),44462.0)</f>
        <v>44462</v>
      </c>
      <c r="I2122" s="15">
        <f>IFERROR(__xludf.DUMMYFUNCTION("""COMPUTED_VALUE"""),0.8199768518518519)</f>
        <v>0.8199768519</v>
      </c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</row>
    <row r="2123">
      <c r="A2123" s="12">
        <v>0.16</v>
      </c>
      <c r="B2123" s="12">
        <v>230.3</v>
      </c>
      <c r="C2123" s="12">
        <v>13.6</v>
      </c>
      <c r="D2123" s="12">
        <v>4.75</v>
      </c>
      <c r="E2123" s="12">
        <v>0.38</v>
      </c>
      <c r="F2123" s="12">
        <v>50.0</v>
      </c>
      <c r="G2123" s="13">
        <v>44462.82007872685</v>
      </c>
      <c r="H2123" s="14">
        <f>IFERROR(__xludf.DUMMYFUNCTION("SPLIT(G2123, "", "")"),44462.0)</f>
        <v>44462</v>
      </c>
      <c r="I2123" s="15">
        <f>IFERROR(__xludf.DUMMYFUNCTION("""COMPUTED_VALUE"""),0.8200810185185186)</f>
        <v>0.8200810185</v>
      </c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</row>
    <row r="2124">
      <c r="A2124" s="12">
        <v>0.16</v>
      </c>
      <c r="B2124" s="12">
        <v>230.3</v>
      </c>
      <c r="C2124" s="12">
        <v>13.5</v>
      </c>
      <c r="D2124" s="12">
        <v>4.75</v>
      </c>
      <c r="E2124" s="12">
        <v>0.38</v>
      </c>
      <c r="F2124" s="12">
        <v>50.0</v>
      </c>
      <c r="G2124" s="13">
        <v>44462.82018445602</v>
      </c>
      <c r="H2124" s="14">
        <f>IFERROR(__xludf.DUMMYFUNCTION("SPLIT(G2124, "", "")"),44462.0)</f>
        <v>44462</v>
      </c>
      <c r="I2124" s="15">
        <f>IFERROR(__xludf.DUMMYFUNCTION("""COMPUTED_VALUE"""),0.8201851851851852)</f>
        <v>0.8201851852</v>
      </c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</row>
    <row r="2125">
      <c r="A2125" s="12">
        <v>0.16</v>
      </c>
      <c r="B2125" s="12">
        <v>230.3</v>
      </c>
      <c r="C2125" s="12">
        <v>13.6</v>
      </c>
      <c r="D2125" s="12">
        <v>4.75</v>
      </c>
      <c r="E2125" s="12">
        <v>0.38</v>
      </c>
      <c r="F2125" s="12">
        <v>50.0</v>
      </c>
      <c r="G2125" s="13">
        <v>44462.820288125</v>
      </c>
      <c r="H2125" s="14">
        <f>IFERROR(__xludf.DUMMYFUNCTION("SPLIT(G2125, "", "")"),44462.0)</f>
        <v>44462</v>
      </c>
      <c r="I2125" s="15">
        <f>IFERROR(__xludf.DUMMYFUNCTION("""COMPUTED_VALUE"""),0.8202893518518518)</f>
        <v>0.8202893519</v>
      </c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</row>
    <row r="2126">
      <c r="A2126" s="12">
        <v>0.16</v>
      </c>
      <c r="B2126" s="12">
        <v>230.3</v>
      </c>
      <c r="C2126" s="12">
        <v>13.6</v>
      </c>
      <c r="D2126" s="12">
        <v>4.75</v>
      </c>
      <c r="E2126" s="12">
        <v>0.38</v>
      </c>
      <c r="F2126" s="12">
        <v>50.0</v>
      </c>
      <c r="G2126" s="13">
        <v>44462.82038967592</v>
      </c>
      <c r="H2126" s="14">
        <f>IFERROR(__xludf.DUMMYFUNCTION("SPLIT(G2126, "", "")"),44462.0)</f>
        <v>44462</v>
      </c>
      <c r="I2126" s="15">
        <f>IFERROR(__xludf.DUMMYFUNCTION("""COMPUTED_VALUE"""),0.8203935185185185)</f>
        <v>0.8203935185</v>
      </c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</row>
    <row r="2127">
      <c r="A2127" s="12">
        <v>0.16</v>
      </c>
      <c r="B2127" s="12">
        <v>230.4</v>
      </c>
      <c r="C2127" s="12">
        <v>13.6</v>
      </c>
      <c r="D2127" s="12">
        <v>4.75</v>
      </c>
      <c r="E2127" s="12">
        <v>0.38</v>
      </c>
      <c r="F2127" s="12">
        <v>50.0</v>
      </c>
      <c r="G2127" s="13">
        <v>44462.820495416665</v>
      </c>
      <c r="H2127" s="14">
        <f>IFERROR(__xludf.DUMMYFUNCTION("SPLIT(G2127, "", "")"),44462.0)</f>
        <v>44462</v>
      </c>
      <c r="I2127" s="15">
        <f>IFERROR(__xludf.DUMMYFUNCTION("""COMPUTED_VALUE"""),0.8204976851851852)</f>
        <v>0.8204976852</v>
      </c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</row>
    <row r="2128">
      <c r="A2128" s="12">
        <v>0.15</v>
      </c>
      <c r="B2128" s="12">
        <v>230.3</v>
      </c>
      <c r="C2128" s="12">
        <v>13.5</v>
      </c>
      <c r="D2128" s="12">
        <v>4.75</v>
      </c>
      <c r="E2128" s="12">
        <v>0.38</v>
      </c>
      <c r="F2128" s="12">
        <v>50.0</v>
      </c>
      <c r="G2128" s="13">
        <v>44462.820602685184</v>
      </c>
      <c r="H2128" s="14">
        <f>IFERROR(__xludf.DUMMYFUNCTION("SPLIT(G2128, "", "")"),44462.0)</f>
        <v>44462</v>
      </c>
      <c r="I2128" s="15">
        <f>IFERROR(__xludf.DUMMYFUNCTION("""COMPUTED_VALUE"""),0.8206018518518519)</f>
        <v>0.8206018519</v>
      </c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</row>
    <row r="2129">
      <c r="A2129" s="12">
        <v>0.15</v>
      </c>
      <c r="B2129" s="12">
        <v>230.2</v>
      </c>
      <c r="C2129" s="12">
        <v>13.4</v>
      </c>
      <c r="D2129" s="12">
        <v>4.75</v>
      </c>
      <c r="E2129" s="12">
        <v>0.38</v>
      </c>
      <c r="F2129" s="12">
        <v>50.0</v>
      </c>
      <c r="G2129" s="13">
        <v>44462.82070430556</v>
      </c>
      <c r="H2129" s="14">
        <f>IFERROR(__xludf.DUMMYFUNCTION("SPLIT(G2129, "", "")"),44462.0)</f>
        <v>44462</v>
      </c>
      <c r="I2129" s="15">
        <f>IFERROR(__xludf.DUMMYFUNCTION("""COMPUTED_VALUE"""),0.8207060185185185)</f>
        <v>0.8207060185</v>
      </c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</row>
    <row r="2130">
      <c r="A2130" s="12">
        <v>0.15</v>
      </c>
      <c r="B2130" s="12">
        <v>230.2</v>
      </c>
      <c r="C2130" s="12">
        <v>13.4</v>
      </c>
      <c r="D2130" s="12">
        <v>4.75</v>
      </c>
      <c r="E2130" s="12">
        <v>0.38</v>
      </c>
      <c r="F2130" s="12">
        <v>50.0</v>
      </c>
      <c r="G2130" s="13">
        <v>44462.82080891204</v>
      </c>
      <c r="H2130" s="14">
        <f>IFERROR(__xludf.DUMMYFUNCTION("SPLIT(G2130, "", "")"),44462.0)</f>
        <v>44462</v>
      </c>
      <c r="I2130" s="15">
        <f>IFERROR(__xludf.DUMMYFUNCTION("""COMPUTED_VALUE"""),0.8208101851851852)</f>
        <v>0.8208101852</v>
      </c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</row>
    <row r="2131">
      <c r="A2131" s="12">
        <v>0.15</v>
      </c>
      <c r="B2131" s="12">
        <v>230.4</v>
      </c>
      <c r="C2131" s="12">
        <v>13.5</v>
      </c>
      <c r="D2131" s="12">
        <v>4.75</v>
      </c>
      <c r="E2131" s="12">
        <v>0.38</v>
      </c>
      <c r="F2131" s="12">
        <v>50.0</v>
      </c>
      <c r="G2131" s="13">
        <v>44462.82091660879</v>
      </c>
      <c r="H2131" s="14">
        <f>IFERROR(__xludf.DUMMYFUNCTION("SPLIT(G2131, "", "")"),44462.0)</f>
        <v>44462</v>
      </c>
      <c r="I2131" s="15">
        <f>IFERROR(__xludf.DUMMYFUNCTION("""COMPUTED_VALUE"""),0.8209143518518518)</f>
        <v>0.8209143519</v>
      </c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</row>
    <row r="2132">
      <c r="A2132" s="12">
        <v>0.15</v>
      </c>
      <c r="B2132" s="12">
        <v>230.4</v>
      </c>
      <c r="C2132" s="12">
        <v>13.4</v>
      </c>
      <c r="D2132" s="12">
        <v>4.75</v>
      </c>
      <c r="E2132" s="12">
        <v>0.38</v>
      </c>
      <c r="F2132" s="12">
        <v>50.0</v>
      </c>
      <c r="G2132" s="13">
        <v>44462.821024687495</v>
      </c>
      <c r="H2132" s="14">
        <f>IFERROR(__xludf.DUMMYFUNCTION("SPLIT(G2132, "", "")"),44462.0)</f>
        <v>44462</v>
      </c>
      <c r="I2132" s="15">
        <f>IFERROR(__xludf.DUMMYFUNCTION("""COMPUTED_VALUE"""),0.8210300925925926)</f>
        <v>0.8210300926</v>
      </c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</row>
    <row r="2133">
      <c r="A2133" s="12">
        <v>0.15</v>
      </c>
      <c r="B2133" s="12">
        <v>230.3</v>
      </c>
      <c r="C2133" s="12">
        <v>13.4</v>
      </c>
      <c r="D2133" s="12">
        <v>4.75</v>
      </c>
      <c r="E2133" s="12">
        <v>0.38</v>
      </c>
      <c r="F2133" s="12">
        <v>50.0</v>
      </c>
      <c r="G2133" s="13">
        <v>44462.82112997685</v>
      </c>
      <c r="H2133" s="14">
        <f>IFERROR(__xludf.DUMMYFUNCTION("SPLIT(G2133, "", "")"),44462.0)</f>
        <v>44462</v>
      </c>
      <c r="I2133" s="15">
        <f>IFERROR(__xludf.DUMMYFUNCTION("""COMPUTED_VALUE"""),0.8211342592592593)</f>
        <v>0.8211342593</v>
      </c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</row>
    <row r="2134">
      <c r="A2134" s="12">
        <v>0.16</v>
      </c>
      <c r="B2134" s="12">
        <v>230.4</v>
      </c>
      <c r="C2134" s="12">
        <v>13.5</v>
      </c>
      <c r="D2134" s="12">
        <v>4.75</v>
      </c>
      <c r="E2134" s="12">
        <v>0.38</v>
      </c>
      <c r="F2134" s="12">
        <v>50.0</v>
      </c>
      <c r="G2134" s="13">
        <v>44462.82146027777</v>
      </c>
      <c r="H2134" s="14">
        <f>IFERROR(__xludf.DUMMYFUNCTION("SPLIT(G2134, "", "")"),44462.0)</f>
        <v>44462</v>
      </c>
      <c r="I2134" s="15">
        <f>IFERROR(__xludf.DUMMYFUNCTION("""COMPUTED_VALUE"""),0.8214583333333333)</f>
        <v>0.8214583333</v>
      </c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</row>
    <row r="2135">
      <c r="A2135" s="12">
        <v>0.15</v>
      </c>
      <c r="B2135" s="12">
        <v>230.6</v>
      </c>
      <c r="C2135" s="12">
        <v>13.4</v>
      </c>
      <c r="D2135" s="12">
        <v>4.75</v>
      </c>
      <c r="E2135" s="12">
        <v>0.38</v>
      </c>
      <c r="F2135" s="12">
        <v>50.0</v>
      </c>
      <c r="G2135" s="13">
        <v>44462.821576689814</v>
      </c>
      <c r="H2135" s="14">
        <f>IFERROR(__xludf.DUMMYFUNCTION("SPLIT(G2135, "", "")"),44462.0)</f>
        <v>44462</v>
      </c>
      <c r="I2135" s="15">
        <f>IFERROR(__xludf.DUMMYFUNCTION("""COMPUTED_VALUE"""),0.8215740740740741)</f>
        <v>0.8215740741</v>
      </c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</row>
    <row r="2136">
      <c r="A2136" s="12">
        <v>0.16</v>
      </c>
      <c r="B2136" s="12">
        <v>230.7</v>
      </c>
      <c r="C2136" s="12">
        <v>13.4</v>
      </c>
      <c r="D2136" s="12">
        <v>4.75</v>
      </c>
      <c r="E2136" s="12">
        <v>0.37</v>
      </c>
      <c r="F2136" s="12">
        <v>50.0</v>
      </c>
      <c r="G2136" s="13">
        <v>44462.821684849536</v>
      </c>
      <c r="H2136" s="14">
        <f>IFERROR(__xludf.DUMMYFUNCTION("SPLIT(G2136, "", "")"),44462.0)</f>
        <v>44462</v>
      </c>
      <c r="I2136" s="15">
        <f>IFERROR(__xludf.DUMMYFUNCTION("""COMPUTED_VALUE"""),0.8216898148148148)</f>
        <v>0.8216898148</v>
      </c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</row>
    <row r="2137">
      <c r="A2137" s="12">
        <v>0.15</v>
      </c>
      <c r="B2137" s="12">
        <v>230.6</v>
      </c>
      <c r="C2137" s="12">
        <v>13.3</v>
      </c>
      <c r="D2137" s="12">
        <v>4.75</v>
      </c>
      <c r="E2137" s="12">
        <v>0.38</v>
      </c>
      <c r="F2137" s="12">
        <v>50.0</v>
      </c>
      <c r="G2137" s="13">
        <v>44462.82178891204</v>
      </c>
      <c r="H2137" s="14">
        <f>IFERROR(__xludf.DUMMYFUNCTION("SPLIT(G2137, "", "")"),44462.0)</f>
        <v>44462</v>
      </c>
      <c r="I2137" s="15">
        <f>IFERROR(__xludf.DUMMYFUNCTION("""COMPUTED_VALUE"""),0.8217939814814815)</f>
        <v>0.8217939815</v>
      </c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</row>
    <row r="2138">
      <c r="A2138" s="12">
        <v>0.15</v>
      </c>
      <c r="B2138" s="12">
        <v>230.5</v>
      </c>
      <c r="C2138" s="12">
        <v>13.3</v>
      </c>
      <c r="D2138" s="12">
        <v>4.75</v>
      </c>
      <c r="E2138" s="12">
        <v>0.38</v>
      </c>
      <c r="F2138" s="12">
        <v>50.0</v>
      </c>
      <c r="G2138" s="13">
        <v>44462.821890057865</v>
      </c>
      <c r="H2138" s="14">
        <f>IFERROR(__xludf.DUMMYFUNCTION("SPLIT(G2138, "", "")"),44462.0)</f>
        <v>44462</v>
      </c>
      <c r="I2138" s="15">
        <f>IFERROR(__xludf.DUMMYFUNCTION("""COMPUTED_VALUE"""),0.8218865740740741)</f>
        <v>0.8218865741</v>
      </c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</row>
    <row r="2139">
      <c r="A2139" s="12">
        <v>0.15</v>
      </c>
      <c r="B2139" s="12">
        <v>229.6</v>
      </c>
      <c r="C2139" s="12">
        <v>12.6</v>
      </c>
      <c r="D2139" s="12">
        <v>4.75</v>
      </c>
      <c r="E2139" s="12">
        <v>0.37</v>
      </c>
      <c r="F2139" s="12">
        <v>50.0</v>
      </c>
      <c r="G2139" s="13">
        <v>44462.82199353009</v>
      </c>
      <c r="H2139" s="14">
        <f>IFERROR(__xludf.DUMMYFUNCTION("SPLIT(G2139, "", "")"),44462.0)</f>
        <v>44462</v>
      </c>
      <c r="I2139" s="15">
        <f>IFERROR(__xludf.DUMMYFUNCTION("""COMPUTED_VALUE"""),0.8219907407407407)</f>
        <v>0.8219907407</v>
      </c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</row>
    <row r="2140">
      <c r="A2140" s="12">
        <v>0.15</v>
      </c>
      <c r="B2140" s="12">
        <v>230.0</v>
      </c>
      <c r="C2140" s="12">
        <v>13.0</v>
      </c>
      <c r="D2140" s="12">
        <v>4.75</v>
      </c>
      <c r="E2140" s="12">
        <v>0.38</v>
      </c>
      <c r="F2140" s="12">
        <v>49.9</v>
      </c>
      <c r="G2140" s="13">
        <v>44462.82209913194</v>
      </c>
      <c r="H2140" s="14">
        <f>IFERROR(__xludf.DUMMYFUNCTION("SPLIT(G2140, "", "")"),44462.0)</f>
        <v>44462</v>
      </c>
      <c r="I2140" s="15">
        <f>IFERROR(__xludf.DUMMYFUNCTION("""COMPUTED_VALUE"""),0.8220949074074074)</f>
        <v>0.8220949074</v>
      </c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</row>
    <row r="2141">
      <c r="A2141" s="12">
        <v>0.15</v>
      </c>
      <c r="B2141" s="12">
        <v>230.1</v>
      </c>
      <c r="C2141" s="12">
        <v>13.1</v>
      </c>
      <c r="D2141" s="12">
        <v>4.75</v>
      </c>
      <c r="E2141" s="12">
        <v>0.38</v>
      </c>
      <c r="F2141" s="12">
        <v>49.9</v>
      </c>
      <c r="G2141" s="13">
        <v>44462.82220175926</v>
      </c>
      <c r="H2141" s="14">
        <f>IFERROR(__xludf.DUMMYFUNCTION("SPLIT(G2141, "", "")"),44462.0)</f>
        <v>44462</v>
      </c>
      <c r="I2141" s="15">
        <f>IFERROR(__xludf.DUMMYFUNCTION("""COMPUTED_VALUE"""),0.8221990740740741)</f>
        <v>0.8221990741</v>
      </c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</row>
    <row r="2142">
      <c r="A2142" s="12">
        <v>0.15</v>
      </c>
      <c r="B2142" s="12">
        <v>230.9</v>
      </c>
      <c r="C2142" s="12">
        <v>13.4</v>
      </c>
      <c r="D2142" s="12">
        <v>4.75</v>
      </c>
      <c r="E2142" s="12">
        <v>0.38</v>
      </c>
      <c r="F2142" s="12">
        <v>49.9</v>
      </c>
      <c r="G2142" s="13">
        <v>44462.822301990745</v>
      </c>
      <c r="H2142" s="14">
        <f>IFERROR(__xludf.DUMMYFUNCTION("SPLIT(G2142, "", "")"),44462.0)</f>
        <v>44462</v>
      </c>
      <c r="I2142" s="15">
        <f>IFERROR(__xludf.DUMMYFUNCTION("""COMPUTED_VALUE"""),0.8223032407407408)</f>
        <v>0.8223032407</v>
      </c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</row>
    <row r="2143">
      <c r="A2143" s="12">
        <v>0.15</v>
      </c>
      <c r="B2143" s="12">
        <v>230.9</v>
      </c>
      <c r="C2143" s="12">
        <v>13.3</v>
      </c>
      <c r="D2143" s="12">
        <v>4.75</v>
      </c>
      <c r="E2143" s="12">
        <v>0.38</v>
      </c>
      <c r="F2143" s="12">
        <v>49.9</v>
      </c>
      <c r="G2143" s="13">
        <v>44462.822406377316</v>
      </c>
      <c r="H2143" s="14">
        <f>IFERROR(__xludf.DUMMYFUNCTION("SPLIT(G2143, "", "")"),44462.0)</f>
        <v>44462</v>
      </c>
      <c r="I2143" s="15">
        <f>IFERROR(__xludf.DUMMYFUNCTION("""COMPUTED_VALUE"""),0.8224074074074074)</f>
        <v>0.8224074074</v>
      </c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</row>
    <row r="2144">
      <c r="A2144" s="12">
        <v>0.15</v>
      </c>
      <c r="B2144" s="12">
        <v>230.8</v>
      </c>
      <c r="C2144" s="12">
        <v>13.3</v>
      </c>
      <c r="D2144" s="12">
        <v>4.75</v>
      </c>
      <c r="E2144" s="12">
        <v>0.38</v>
      </c>
      <c r="F2144" s="12">
        <v>49.9</v>
      </c>
      <c r="G2144" s="13">
        <v>44462.82251571759</v>
      </c>
      <c r="H2144" s="14">
        <f>IFERROR(__xludf.DUMMYFUNCTION("SPLIT(G2144, "", "")"),44462.0)</f>
        <v>44462</v>
      </c>
      <c r="I2144" s="15">
        <f>IFERROR(__xludf.DUMMYFUNCTION("""COMPUTED_VALUE"""),0.822511574074074)</f>
        <v>0.8225115741</v>
      </c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</row>
    <row r="2145">
      <c r="A2145" s="12">
        <v>0.15</v>
      </c>
      <c r="B2145" s="12">
        <v>231.0</v>
      </c>
      <c r="C2145" s="12">
        <v>13.4</v>
      </c>
      <c r="D2145" s="12">
        <v>4.75</v>
      </c>
      <c r="E2145" s="12">
        <v>0.38</v>
      </c>
      <c r="F2145" s="12">
        <v>50.0</v>
      </c>
      <c r="G2145" s="13">
        <v>44462.82261986111</v>
      </c>
      <c r="H2145" s="14">
        <f>IFERROR(__xludf.DUMMYFUNCTION("SPLIT(G2145, "", "")"),44462.0)</f>
        <v>44462</v>
      </c>
      <c r="I2145" s="15">
        <f>IFERROR(__xludf.DUMMYFUNCTION("""COMPUTED_VALUE"""),0.8226157407407407)</f>
        <v>0.8226157407</v>
      </c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</row>
    <row r="2146">
      <c r="A2146" s="12">
        <v>0.15</v>
      </c>
      <c r="B2146" s="12">
        <v>231.0</v>
      </c>
      <c r="C2146" s="12">
        <v>13.4</v>
      </c>
      <c r="D2146" s="12">
        <v>4.75</v>
      </c>
      <c r="E2146" s="12">
        <v>0.38</v>
      </c>
      <c r="F2146" s="12">
        <v>50.0</v>
      </c>
      <c r="G2146" s="13">
        <v>44462.82271978009</v>
      </c>
      <c r="H2146" s="14">
        <f>IFERROR(__xludf.DUMMYFUNCTION("SPLIT(G2146, "", "")"),44462.0)</f>
        <v>44462</v>
      </c>
      <c r="I2146" s="15">
        <f>IFERROR(__xludf.DUMMYFUNCTION("""COMPUTED_VALUE"""),0.8227199074074074)</f>
        <v>0.8227199074</v>
      </c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</row>
    <row r="2147">
      <c r="A2147" s="12">
        <v>0.15</v>
      </c>
      <c r="B2147" s="12">
        <v>231.1</v>
      </c>
      <c r="C2147" s="12">
        <v>13.4</v>
      </c>
      <c r="D2147" s="12">
        <v>4.75</v>
      </c>
      <c r="E2147" s="12">
        <v>0.38</v>
      </c>
      <c r="F2147" s="12">
        <v>50.0</v>
      </c>
      <c r="G2147" s="13">
        <v>44462.82282299768</v>
      </c>
      <c r="H2147" s="14">
        <f>IFERROR(__xludf.DUMMYFUNCTION("SPLIT(G2147, "", "")"),44462.0)</f>
        <v>44462</v>
      </c>
      <c r="I2147" s="15">
        <f>IFERROR(__xludf.DUMMYFUNCTION("""COMPUTED_VALUE"""),0.8228240740740741)</f>
        <v>0.8228240741</v>
      </c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</row>
    <row r="2148">
      <c r="A2148" s="12">
        <v>0.15</v>
      </c>
      <c r="B2148" s="12">
        <v>231.3</v>
      </c>
      <c r="C2148" s="12">
        <v>13.4</v>
      </c>
      <c r="D2148" s="12">
        <v>4.75</v>
      </c>
      <c r="E2148" s="12">
        <v>0.38</v>
      </c>
      <c r="F2148" s="12">
        <v>50.0</v>
      </c>
      <c r="G2148" s="13">
        <v>44462.82292737269</v>
      </c>
      <c r="H2148" s="14">
        <f>IFERROR(__xludf.DUMMYFUNCTION("SPLIT(G2148, "", "")"),44462.0)</f>
        <v>44462</v>
      </c>
      <c r="I2148" s="15">
        <f>IFERROR(__xludf.DUMMYFUNCTION("""COMPUTED_VALUE"""),0.8229282407407408)</f>
        <v>0.8229282407</v>
      </c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</row>
    <row r="2149">
      <c r="A2149" s="12">
        <v>0.15</v>
      </c>
      <c r="B2149" s="12">
        <v>231.3</v>
      </c>
      <c r="C2149" s="12">
        <v>13.4</v>
      </c>
      <c r="D2149" s="12">
        <v>4.75</v>
      </c>
      <c r="E2149" s="12">
        <v>0.38</v>
      </c>
      <c r="F2149" s="12">
        <v>50.0</v>
      </c>
      <c r="G2149" s="13">
        <v>44462.82302866898</v>
      </c>
      <c r="H2149" s="14">
        <f>IFERROR(__xludf.DUMMYFUNCTION("SPLIT(G2149, "", "")"),44462.0)</f>
        <v>44462</v>
      </c>
      <c r="I2149" s="15">
        <f>IFERROR(__xludf.DUMMYFUNCTION("""COMPUTED_VALUE"""),0.8230324074074075)</f>
        <v>0.8230324074</v>
      </c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  <c r="AA2149" s="9"/>
    </row>
    <row r="2150">
      <c r="A2150" s="12">
        <v>0.15</v>
      </c>
      <c r="B2150" s="12">
        <v>231.3</v>
      </c>
      <c r="C2150" s="12">
        <v>13.4</v>
      </c>
      <c r="D2150" s="12">
        <v>4.75</v>
      </c>
      <c r="E2150" s="12">
        <v>0.38</v>
      </c>
      <c r="F2150" s="12">
        <v>50.0</v>
      </c>
      <c r="G2150" s="13">
        <v>44462.82312918981</v>
      </c>
      <c r="H2150" s="14">
        <f>IFERROR(__xludf.DUMMYFUNCTION("SPLIT(G2150, "", "")"),44462.0)</f>
        <v>44462</v>
      </c>
      <c r="I2150" s="15">
        <f>IFERROR(__xludf.DUMMYFUNCTION("""COMPUTED_VALUE"""),0.823125)</f>
        <v>0.823125</v>
      </c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  <c r="AA2150" s="9"/>
    </row>
    <row r="2151">
      <c r="A2151" s="12">
        <v>0.15</v>
      </c>
      <c r="B2151" s="12">
        <v>231.4</v>
      </c>
      <c r="C2151" s="12">
        <v>13.4</v>
      </c>
      <c r="D2151" s="12">
        <v>4.75</v>
      </c>
      <c r="E2151" s="12">
        <v>0.38</v>
      </c>
      <c r="F2151" s="12">
        <v>50.0</v>
      </c>
      <c r="G2151" s="13">
        <v>44462.82322922454</v>
      </c>
      <c r="H2151" s="14">
        <f>IFERROR(__xludf.DUMMYFUNCTION("SPLIT(G2151, "", "")"),44462.0)</f>
        <v>44462</v>
      </c>
      <c r="I2151" s="15">
        <f>IFERROR(__xludf.DUMMYFUNCTION("""COMPUTED_VALUE"""),0.8232291666666667)</f>
        <v>0.8232291667</v>
      </c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  <c r="AA2151" s="9"/>
    </row>
    <row r="2152">
      <c r="A2152" s="12">
        <v>0.15</v>
      </c>
      <c r="B2152" s="12">
        <v>231.3</v>
      </c>
      <c r="C2152" s="12">
        <v>13.4</v>
      </c>
      <c r="D2152" s="12">
        <v>4.75</v>
      </c>
      <c r="E2152" s="12">
        <v>0.38</v>
      </c>
      <c r="F2152" s="12">
        <v>50.0</v>
      </c>
      <c r="G2152" s="13">
        <v>44462.823331990745</v>
      </c>
      <c r="H2152" s="14">
        <f>IFERROR(__xludf.DUMMYFUNCTION("SPLIT(G2152, "", "")"),44462.0)</f>
        <v>44462</v>
      </c>
      <c r="I2152" s="15">
        <f>IFERROR(__xludf.DUMMYFUNCTION("""COMPUTED_VALUE"""),0.8233333333333334)</f>
        <v>0.8233333333</v>
      </c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  <c r="AA2152" s="9"/>
    </row>
    <row r="2153">
      <c r="A2153" s="12">
        <v>0.15</v>
      </c>
      <c r="B2153" s="12">
        <v>231.2</v>
      </c>
      <c r="C2153" s="12">
        <v>13.3</v>
      </c>
      <c r="D2153" s="12">
        <v>4.75</v>
      </c>
      <c r="E2153" s="12">
        <v>0.38</v>
      </c>
      <c r="F2153" s="12">
        <v>50.0</v>
      </c>
      <c r="G2153" s="13">
        <v>44462.823434571765</v>
      </c>
      <c r="H2153" s="14">
        <f>IFERROR(__xludf.DUMMYFUNCTION("SPLIT(G2153, "", "")"),44462.0)</f>
        <v>44462</v>
      </c>
      <c r="I2153" s="15">
        <f>IFERROR(__xludf.DUMMYFUNCTION("""COMPUTED_VALUE"""),0.8234375)</f>
        <v>0.8234375</v>
      </c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  <c r="AA2153" s="9"/>
    </row>
    <row r="2154">
      <c r="A2154" s="12">
        <v>0.15</v>
      </c>
      <c r="B2154" s="12">
        <v>231.3</v>
      </c>
      <c r="C2154" s="12">
        <v>13.3</v>
      </c>
      <c r="D2154" s="12">
        <v>4.75</v>
      </c>
      <c r="E2154" s="12">
        <v>0.38</v>
      </c>
      <c r="F2154" s="12">
        <v>50.0</v>
      </c>
      <c r="G2154" s="13">
        <v>44462.82354428241</v>
      </c>
      <c r="H2154" s="14">
        <f>IFERROR(__xludf.DUMMYFUNCTION("SPLIT(G2154, "", "")"),44462.0)</f>
        <v>44462</v>
      </c>
      <c r="I2154" s="15">
        <f>IFERROR(__xludf.DUMMYFUNCTION("""COMPUTED_VALUE"""),0.8235416666666666)</f>
        <v>0.8235416667</v>
      </c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  <c r="AA2154" s="9"/>
    </row>
    <row r="2155">
      <c r="A2155" s="12">
        <v>0.15</v>
      </c>
      <c r="B2155" s="12">
        <v>231.4</v>
      </c>
      <c r="C2155" s="12">
        <v>13.3</v>
      </c>
      <c r="D2155" s="12">
        <v>4.75</v>
      </c>
      <c r="E2155" s="12">
        <v>0.38</v>
      </c>
      <c r="F2155" s="12">
        <v>50.0</v>
      </c>
      <c r="G2155" s="13">
        <v>44462.82365388889</v>
      </c>
      <c r="H2155" s="14">
        <f>IFERROR(__xludf.DUMMYFUNCTION("SPLIT(G2155, "", "")"),44462.0)</f>
        <v>44462</v>
      </c>
      <c r="I2155" s="15">
        <f>IFERROR(__xludf.DUMMYFUNCTION("""COMPUTED_VALUE"""),0.8236574074074074)</f>
        <v>0.8236574074</v>
      </c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  <c r="AA2155" s="9"/>
    </row>
    <row r="2156">
      <c r="A2156" s="12">
        <v>0.15</v>
      </c>
      <c r="B2156" s="12">
        <v>231.4</v>
      </c>
      <c r="C2156" s="12">
        <v>13.3</v>
      </c>
      <c r="D2156" s="12">
        <v>4.75</v>
      </c>
      <c r="E2156" s="12">
        <v>0.38</v>
      </c>
      <c r="F2156" s="12">
        <v>50.0</v>
      </c>
      <c r="G2156" s="13">
        <v>44462.82375391204</v>
      </c>
      <c r="H2156" s="14">
        <f>IFERROR(__xludf.DUMMYFUNCTION("SPLIT(G2156, "", "")"),44462.0)</f>
        <v>44462</v>
      </c>
      <c r="I2156" s="15">
        <f>IFERROR(__xludf.DUMMYFUNCTION("""COMPUTED_VALUE"""),0.82375)</f>
        <v>0.82375</v>
      </c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  <c r="AA2156" s="9"/>
    </row>
    <row r="2157">
      <c r="A2157" s="12">
        <v>0.15</v>
      </c>
      <c r="B2157" s="12">
        <v>231.4</v>
      </c>
      <c r="C2157" s="12">
        <v>13.3</v>
      </c>
      <c r="D2157" s="12">
        <v>4.75</v>
      </c>
      <c r="E2157" s="12">
        <v>0.38</v>
      </c>
      <c r="F2157" s="12">
        <v>50.0</v>
      </c>
      <c r="G2157" s="13">
        <v>44462.823855104165</v>
      </c>
      <c r="H2157" s="14">
        <f>IFERROR(__xludf.DUMMYFUNCTION("SPLIT(G2157, "", "")"),44462.0)</f>
        <v>44462</v>
      </c>
      <c r="I2157" s="15">
        <f>IFERROR(__xludf.DUMMYFUNCTION("""COMPUTED_VALUE"""),0.8238541666666667)</f>
        <v>0.8238541667</v>
      </c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  <c r="AA2157" s="9"/>
    </row>
    <row r="2158">
      <c r="A2158" s="12">
        <v>0.15</v>
      </c>
      <c r="B2158" s="12">
        <v>231.4</v>
      </c>
      <c r="C2158" s="12">
        <v>13.3</v>
      </c>
      <c r="D2158" s="12">
        <v>4.75</v>
      </c>
      <c r="E2158" s="12">
        <v>0.38</v>
      </c>
      <c r="F2158" s="12">
        <v>49.9</v>
      </c>
      <c r="G2158" s="13">
        <v>44462.82396337963</v>
      </c>
      <c r="H2158" s="14">
        <f>IFERROR(__xludf.DUMMYFUNCTION("SPLIT(G2158, "", "")"),44462.0)</f>
        <v>44462</v>
      </c>
      <c r="I2158" s="15">
        <f>IFERROR(__xludf.DUMMYFUNCTION("""COMPUTED_VALUE"""),0.8239583333333333)</f>
        <v>0.8239583333</v>
      </c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  <c r="AA2158" s="9"/>
    </row>
    <row r="2159">
      <c r="A2159" s="12">
        <v>0.15</v>
      </c>
      <c r="B2159" s="12">
        <v>231.3</v>
      </c>
      <c r="C2159" s="12">
        <v>13.2</v>
      </c>
      <c r="D2159" s="12">
        <v>4.75</v>
      </c>
      <c r="E2159" s="12">
        <v>0.38</v>
      </c>
      <c r="F2159" s="12">
        <v>50.0</v>
      </c>
      <c r="G2159" s="13">
        <v>44462.82406991898</v>
      </c>
      <c r="H2159" s="14">
        <f>IFERROR(__xludf.DUMMYFUNCTION("SPLIT(G2159, "", "")"),44462.0)</f>
        <v>44462</v>
      </c>
      <c r="I2159" s="15">
        <f>IFERROR(__xludf.DUMMYFUNCTION("""COMPUTED_VALUE"""),0.8240740740740741)</f>
        <v>0.8240740741</v>
      </c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  <c r="AA2159" s="9"/>
    </row>
    <row r="2160">
      <c r="A2160" s="12">
        <v>0.15</v>
      </c>
      <c r="B2160" s="12">
        <v>231.2</v>
      </c>
      <c r="C2160" s="12">
        <v>13.2</v>
      </c>
      <c r="D2160" s="12">
        <v>4.75</v>
      </c>
      <c r="E2160" s="12">
        <v>0.38</v>
      </c>
      <c r="F2160" s="12">
        <v>50.0</v>
      </c>
      <c r="G2160" s="13">
        <v>44462.824175960646</v>
      </c>
      <c r="H2160" s="14">
        <f>IFERROR(__xludf.DUMMYFUNCTION("SPLIT(G2160, "", "")"),44462.0)</f>
        <v>44462</v>
      </c>
      <c r="I2160" s="15">
        <f>IFERROR(__xludf.DUMMYFUNCTION("""COMPUTED_VALUE"""),0.8241782407407408)</f>
        <v>0.8241782407</v>
      </c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  <c r="AA2160" s="9"/>
    </row>
    <row r="2161">
      <c r="A2161" s="12">
        <v>0.15</v>
      </c>
      <c r="B2161" s="12">
        <v>231.2</v>
      </c>
      <c r="C2161" s="12">
        <v>13.1</v>
      </c>
      <c r="D2161" s="12">
        <v>4.75</v>
      </c>
      <c r="E2161" s="12">
        <v>0.38</v>
      </c>
      <c r="F2161" s="12">
        <v>49.9</v>
      </c>
      <c r="G2161" s="13">
        <v>44462.82427940972</v>
      </c>
      <c r="H2161" s="14">
        <f>IFERROR(__xludf.DUMMYFUNCTION("SPLIT(G2161, "", "")"),44462.0)</f>
        <v>44462</v>
      </c>
      <c r="I2161" s="15">
        <f>IFERROR(__xludf.DUMMYFUNCTION("""COMPUTED_VALUE"""),0.8242824074074074)</f>
        <v>0.8242824074</v>
      </c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  <c r="AA2161" s="9"/>
    </row>
    <row r="2162">
      <c r="A2162" s="12">
        <v>0.15</v>
      </c>
      <c r="B2162" s="12">
        <v>231.1</v>
      </c>
      <c r="C2162" s="12">
        <v>13.1</v>
      </c>
      <c r="D2162" s="12">
        <v>4.75</v>
      </c>
      <c r="E2162" s="12">
        <v>0.38</v>
      </c>
      <c r="F2162" s="12">
        <v>49.9</v>
      </c>
      <c r="G2162" s="13">
        <v>44462.824384074076</v>
      </c>
      <c r="H2162" s="14">
        <f>IFERROR(__xludf.DUMMYFUNCTION("SPLIT(G2162, "", "")"),44462.0)</f>
        <v>44462</v>
      </c>
      <c r="I2162" s="15">
        <f>IFERROR(__xludf.DUMMYFUNCTION("""COMPUTED_VALUE"""),0.8243865740740741)</f>
        <v>0.8243865741</v>
      </c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  <c r="AA2162" s="9"/>
    </row>
    <row r="2163">
      <c r="A2163" s="12">
        <v>0.15</v>
      </c>
      <c r="B2163" s="12">
        <v>231.2</v>
      </c>
      <c r="C2163" s="12">
        <v>13.2</v>
      </c>
      <c r="D2163" s="12">
        <v>4.75</v>
      </c>
      <c r="E2163" s="12">
        <v>0.38</v>
      </c>
      <c r="F2163" s="12">
        <v>50.0</v>
      </c>
      <c r="G2163" s="13">
        <v>44462.824486550926</v>
      </c>
      <c r="H2163" s="14">
        <f>IFERROR(__xludf.DUMMYFUNCTION("SPLIT(G2163, "", "")"),44462.0)</f>
        <v>44462</v>
      </c>
      <c r="I2163" s="15">
        <f>IFERROR(__xludf.DUMMYFUNCTION("""COMPUTED_VALUE"""),0.8244907407407407)</f>
        <v>0.8244907407</v>
      </c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/>
    </row>
    <row r="2164">
      <c r="A2164" s="12">
        <v>0.15</v>
      </c>
      <c r="B2164" s="12">
        <v>231.2</v>
      </c>
      <c r="C2164" s="12">
        <v>13.0</v>
      </c>
      <c r="D2164" s="12">
        <v>4.75</v>
      </c>
      <c r="E2164" s="12">
        <v>0.37</v>
      </c>
      <c r="F2164" s="12">
        <v>50.0</v>
      </c>
      <c r="G2164" s="13">
        <v>44462.82458694444</v>
      </c>
      <c r="H2164" s="14">
        <f>IFERROR(__xludf.DUMMYFUNCTION("SPLIT(G2164, "", "")"),44462.0)</f>
        <v>44462</v>
      </c>
      <c r="I2164" s="15">
        <f>IFERROR(__xludf.DUMMYFUNCTION("""COMPUTED_VALUE"""),0.8245833333333333)</f>
        <v>0.8245833333</v>
      </c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  <c r="AA2164" s="9"/>
    </row>
    <row r="2165">
      <c r="A2165" s="12">
        <v>0.15</v>
      </c>
      <c r="B2165" s="12">
        <v>231.3</v>
      </c>
      <c r="C2165" s="12">
        <v>13.1</v>
      </c>
      <c r="D2165" s="12">
        <v>4.75</v>
      </c>
      <c r="E2165" s="12">
        <v>0.38</v>
      </c>
      <c r="F2165" s="12">
        <v>50.0</v>
      </c>
      <c r="G2165" s="13">
        <v>44462.82468797454</v>
      </c>
      <c r="H2165" s="14">
        <f>IFERROR(__xludf.DUMMYFUNCTION("SPLIT(G2165, "", "")"),44462.0)</f>
        <v>44462</v>
      </c>
      <c r="I2165" s="15">
        <f>IFERROR(__xludf.DUMMYFUNCTION("""COMPUTED_VALUE"""),0.8246875)</f>
        <v>0.8246875</v>
      </c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  <c r="AA2165" s="9"/>
    </row>
    <row r="2166">
      <c r="A2166" s="12">
        <v>0.15</v>
      </c>
      <c r="B2166" s="12">
        <v>231.4</v>
      </c>
      <c r="C2166" s="12">
        <v>13.1</v>
      </c>
      <c r="D2166" s="12">
        <v>4.75</v>
      </c>
      <c r="E2166" s="12">
        <v>0.37</v>
      </c>
      <c r="F2166" s="12">
        <v>50.0</v>
      </c>
      <c r="G2166" s="13">
        <v>44462.82478921296</v>
      </c>
      <c r="H2166" s="14">
        <f>IFERROR(__xludf.DUMMYFUNCTION("SPLIT(G2166, "", "")"),44462.0)</f>
        <v>44462</v>
      </c>
      <c r="I2166" s="15">
        <f>IFERROR(__xludf.DUMMYFUNCTION("""COMPUTED_VALUE"""),0.8247916666666667)</f>
        <v>0.8247916667</v>
      </c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  <c r="AA2166" s="9"/>
    </row>
    <row r="2167">
      <c r="A2167" s="12">
        <v>0.15</v>
      </c>
      <c r="B2167" s="12">
        <v>231.3</v>
      </c>
      <c r="C2167" s="12">
        <v>13.0</v>
      </c>
      <c r="D2167" s="12">
        <v>4.75</v>
      </c>
      <c r="E2167" s="12">
        <v>0.37</v>
      </c>
      <c r="F2167" s="12">
        <v>50.0</v>
      </c>
      <c r="G2167" s="13">
        <v>44462.82488986111</v>
      </c>
      <c r="H2167" s="14">
        <f>IFERROR(__xludf.DUMMYFUNCTION("SPLIT(G2167, "", "")"),44462.0)</f>
        <v>44462</v>
      </c>
      <c r="I2167" s="15">
        <f>IFERROR(__xludf.DUMMYFUNCTION("""COMPUTED_VALUE"""),0.8248842592592592)</f>
        <v>0.8248842593</v>
      </c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  <c r="AA2167" s="9"/>
    </row>
    <row r="2168">
      <c r="A2168" s="12">
        <v>0.15</v>
      </c>
      <c r="B2168" s="12">
        <v>232.1</v>
      </c>
      <c r="C2168" s="12">
        <v>13.3</v>
      </c>
      <c r="D2168" s="12">
        <v>4.75</v>
      </c>
      <c r="E2168" s="12">
        <v>0.38</v>
      </c>
      <c r="F2168" s="12">
        <v>50.0</v>
      </c>
      <c r="G2168" s="13">
        <v>44462.824989872686</v>
      </c>
      <c r="H2168" s="14">
        <f>IFERROR(__xludf.DUMMYFUNCTION("SPLIT(G2168, "", "")"),44462.0)</f>
        <v>44462</v>
      </c>
      <c r="I2168" s="15">
        <f>IFERROR(__xludf.DUMMYFUNCTION("""COMPUTED_VALUE"""),0.8249884259259259)</f>
        <v>0.8249884259</v>
      </c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/>
    </row>
    <row r="2169">
      <c r="A2169" s="12">
        <v>0.15</v>
      </c>
      <c r="B2169" s="12">
        <v>232.0</v>
      </c>
      <c r="C2169" s="12">
        <v>13.3</v>
      </c>
      <c r="D2169" s="12">
        <v>4.75</v>
      </c>
      <c r="E2169" s="12">
        <v>0.38</v>
      </c>
      <c r="F2169" s="12">
        <v>50.0</v>
      </c>
      <c r="G2169" s="13">
        <v>44462.82509319445</v>
      </c>
      <c r="H2169" s="14">
        <f>IFERROR(__xludf.DUMMYFUNCTION("SPLIT(G2169, "", "")"),44462.0)</f>
        <v>44462</v>
      </c>
      <c r="I2169" s="15">
        <f>IFERROR(__xludf.DUMMYFUNCTION("""COMPUTED_VALUE"""),0.8250925925925926)</f>
        <v>0.8250925926</v>
      </c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  <c r="AA2169" s="9"/>
    </row>
    <row r="2170">
      <c r="A2170" s="12">
        <v>0.15</v>
      </c>
      <c r="B2170" s="12">
        <v>231.9</v>
      </c>
      <c r="C2170" s="12">
        <v>13.2</v>
      </c>
      <c r="D2170" s="12">
        <v>4.75</v>
      </c>
      <c r="E2170" s="12">
        <v>0.38</v>
      </c>
      <c r="F2170" s="12">
        <v>50.0</v>
      </c>
      <c r="G2170" s="13">
        <v>44462.82520208333</v>
      </c>
      <c r="H2170" s="14">
        <f>IFERROR(__xludf.DUMMYFUNCTION("SPLIT(G2170, "", "")"),44462.0)</f>
        <v>44462</v>
      </c>
      <c r="I2170" s="15">
        <f>IFERROR(__xludf.DUMMYFUNCTION("""COMPUTED_VALUE"""),0.8251967592592593)</f>
        <v>0.8251967593</v>
      </c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  <c r="AA2170" s="9"/>
    </row>
    <row r="2171">
      <c r="A2171" s="12">
        <v>0.15</v>
      </c>
      <c r="B2171" s="12">
        <v>231.9</v>
      </c>
      <c r="C2171" s="12">
        <v>13.2</v>
      </c>
      <c r="D2171" s="12">
        <v>4.75</v>
      </c>
      <c r="E2171" s="12">
        <v>0.38</v>
      </c>
      <c r="F2171" s="12">
        <v>50.0</v>
      </c>
      <c r="G2171" s="13">
        <v>44462.82531197916</v>
      </c>
      <c r="H2171" s="14">
        <f>IFERROR(__xludf.DUMMYFUNCTION("SPLIT(G2171, "", "")"),44462.0)</f>
        <v>44462</v>
      </c>
      <c r="I2171" s="15">
        <f>IFERROR(__xludf.DUMMYFUNCTION("""COMPUTED_VALUE"""),0.8253125)</f>
        <v>0.8253125</v>
      </c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</row>
    <row r="2172">
      <c r="A2172" s="12">
        <v>0.15</v>
      </c>
      <c r="B2172" s="12">
        <v>231.8</v>
      </c>
      <c r="C2172" s="12">
        <v>13.1</v>
      </c>
      <c r="D2172" s="12">
        <v>4.75</v>
      </c>
      <c r="E2172" s="12">
        <v>0.38</v>
      </c>
      <c r="F2172" s="12">
        <v>50.0</v>
      </c>
      <c r="G2172" s="13">
        <v>44462.8254164699</v>
      </c>
      <c r="H2172" s="14">
        <f>IFERROR(__xludf.DUMMYFUNCTION("SPLIT(G2172, "", "")"),44462.0)</f>
        <v>44462</v>
      </c>
      <c r="I2172" s="15">
        <f>IFERROR(__xludf.DUMMYFUNCTION("""COMPUTED_VALUE"""),0.8254166666666667)</f>
        <v>0.8254166667</v>
      </c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  <c r="AA2172" s="9"/>
    </row>
    <row r="2173">
      <c r="A2173" s="12">
        <v>0.15</v>
      </c>
      <c r="B2173" s="12">
        <v>231.8</v>
      </c>
      <c r="C2173" s="12">
        <v>13.1</v>
      </c>
      <c r="D2173" s="12">
        <v>4.75</v>
      </c>
      <c r="E2173" s="12">
        <v>0.38</v>
      </c>
      <c r="F2173" s="12">
        <v>50.0</v>
      </c>
      <c r="G2173" s="13">
        <v>44462.82552085648</v>
      </c>
      <c r="H2173" s="14">
        <f>IFERROR(__xludf.DUMMYFUNCTION("SPLIT(G2173, "", "")"),44462.0)</f>
        <v>44462</v>
      </c>
      <c r="I2173" s="15">
        <f>IFERROR(__xludf.DUMMYFUNCTION("""COMPUTED_VALUE"""),0.8255208333333334)</f>
        <v>0.8255208333</v>
      </c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</row>
    <row r="2174">
      <c r="A2174" s="12">
        <v>0.15</v>
      </c>
      <c r="B2174" s="12">
        <v>231.8</v>
      </c>
      <c r="C2174" s="12">
        <v>13.1</v>
      </c>
      <c r="D2174" s="12">
        <v>4.75</v>
      </c>
      <c r="E2174" s="12">
        <v>0.38</v>
      </c>
      <c r="F2174" s="12">
        <v>50.0</v>
      </c>
      <c r="G2174" s="13">
        <v>44462.82562466435</v>
      </c>
      <c r="H2174" s="14">
        <f>IFERROR(__xludf.DUMMYFUNCTION("SPLIT(G2174, "", "")"),44462.0)</f>
        <v>44462</v>
      </c>
      <c r="I2174" s="15">
        <f>IFERROR(__xludf.DUMMYFUNCTION("""COMPUTED_VALUE"""),0.825625)</f>
        <v>0.825625</v>
      </c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  <c r="AA2174" s="9"/>
    </row>
    <row r="2175">
      <c r="A2175" s="12">
        <v>0.15</v>
      </c>
      <c r="B2175" s="12">
        <v>231.9</v>
      </c>
      <c r="C2175" s="12">
        <v>13.0</v>
      </c>
      <c r="D2175" s="12">
        <v>4.75</v>
      </c>
      <c r="E2175" s="12">
        <v>0.37</v>
      </c>
      <c r="F2175" s="12">
        <v>50.0</v>
      </c>
      <c r="G2175" s="13">
        <v>44462.825732094905</v>
      </c>
      <c r="H2175" s="14">
        <f>IFERROR(__xludf.DUMMYFUNCTION("SPLIT(G2175, "", "")"),44462.0)</f>
        <v>44462</v>
      </c>
      <c r="I2175" s="15">
        <f>IFERROR(__xludf.DUMMYFUNCTION("""COMPUTED_VALUE"""),0.8257291666666666)</f>
        <v>0.8257291667</v>
      </c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  <c r="AA2175" s="9"/>
    </row>
    <row r="2176">
      <c r="A2176" s="12">
        <v>0.15</v>
      </c>
      <c r="B2176" s="12">
        <v>231.9</v>
      </c>
      <c r="C2176" s="12">
        <v>13.1</v>
      </c>
      <c r="D2176" s="12">
        <v>4.75</v>
      </c>
      <c r="E2176" s="12">
        <v>0.38</v>
      </c>
      <c r="F2176" s="12">
        <v>50.0</v>
      </c>
      <c r="G2176" s="13">
        <v>44462.825838495366</v>
      </c>
      <c r="H2176" s="14">
        <f>IFERROR(__xludf.DUMMYFUNCTION("SPLIT(G2176, "", "")"),44462.0)</f>
        <v>44462</v>
      </c>
      <c r="I2176" s="15">
        <f>IFERROR(__xludf.DUMMYFUNCTION("""COMPUTED_VALUE"""),0.8258333333333333)</f>
        <v>0.8258333333</v>
      </c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  <c r="AA2176" s="9"/>
    </row>
    <row r="2177">
      <c r="A2177" s="12">
        <v>0.15</v>
      </c>
      <c r="B2177" s="12">
        <v>232.0</v>
      </c>
      <c r="C2177" s="12">
        <v>13.0</v>
      </c>
      <c r="D2177" s="12">
        <v>4.75</v>
      </c>
      <c r="E2177" s="12">
        <v>0.38</v>
      </c>
      <c r="F2177" s="12">
        <v>50.0</v>
      </c>
      <c r="G2177" s="13">
        <v>44462.82594434028</v>
      </c>
      <c r="H2177" s="14">
        <f>IFERROR(__xludf.DUMMYFUNCTION("SPLIT(G2177, "", "")"),44462.0)</f>
        <v>44462</v>
      </c>
      <c r="I2177" s="15">
        <f>IFERROR(__xludf.DUMMYFUNCTION("""COMPUTED_VALUE"""),0.825949074074074)</f>
        <v>0.8259490741</v>
      </c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</row>
    <row r="2178">
      <c r="A2178" s="12">
        <v>0.15</v>
      </c>
      <c r="B2178" s="12">
        <v>232.2</v>
      </c>
      <c r="C2178" s="12">
        <v>12.9</v>
      </c>
      <c r="D2178" s="12">
        <v>4.75</v>
      </c>
      <c r="E2178" s="12">
        <v>0.37</v>
      </c>
      <c r="F2178" s="12">
        <v>50.0</v>
      </c>
      <c r="G2178" s="13">
        <v>44462.82604319444</v>
      </c>
      <c r="H2178" s="14">
        <f>IFERROR(__xludf.DUMMYFUNCTION("SPLIT(G2178, "", "")"),44462.0)</f>
        <v>44462</v>
      </c>
      <c r="I2178" s="15">
        <f>IFERROR(__xludf.DUMMYFUNCTION("""COMPUTED_VALUE"""),0.8260416666666667)</f>
        <v>0.8260416667</v>
      </c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/>
    </row>
    <row r="2179">
      <c r="A2179" s="12">
        <v>0.15</v>
      </c>
      <c r="B2179" s="12">
        <v>232.0</v>
      </c>
      <c r="C2179" s="12">
        <v>13.0</v>
      </c>
      <c r="D2179" s="12">
        <v>4.75</v>
      </c>
      <c r="E2179" s="12">
        <v>0.38</v>
      </c>
      <c r="F2179" s="12">
        <v>50.0</v>
      </c>
      <c r="G2179" s="13">
        <v>44462.82614265046</v>
      </c>
      <c r="H2179" s="14">
        <f>IFERROR(__xludf.DUMMYFUNCTION("SPLIT(G2179, "", "")"),44462.0)</f>
        <v>44462</v>
      </c>
      <c r="I2179" s="15">
        <f>IFERROR(__xludf.DUMMYFUNCTION("""COMPUTED_VALUE"""),0.8261458333333334)</f>
        <v>0.8261458333</v>
      </c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  <c r="AA2179" s="9"/>
    </row>
    <row r="2180">
      <c r="A2180" s="12">
        <v>0.15</v>
      </c>
      <c r="B2180" s="12">
        <v>231.8</v>
      </c>
      <c r="C2180" s="12">
        <v>12.9</v>
      </c>
      <c r="D2180" s="12">
        <v>4.75</v>
      </c>
      <c r="E2180" s="12">
        <v>0.37</v>
      </c>
      <c r="F2180" s="12">
        <v>50.0</v>
      </c>
      <c r="G2180" s="13">
        <v>44462.82624350695</v>
      </c>
      <c r="H2180" s="14">
        <f>IFERROR(__xludf.DUMMYFUNCTION("SPLIT(G2180, "", "")"),44462.0)</f>
        <v>44462</v>
      </c>
      <c r="I2180" s="15">
        <f>IFERROR(__xludf.DUMMYFUNCTION("""COMPUTED_VALUE"""),0.8262384259259259)</f>
        <v>0.8262384259</v>
      </c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  <c r="AA2180" s="9"/>
    </row>
    <row r="2181">
      <c r="A2181" s="12">
        <v>0.15</v>
      </c>
      <c r="B2181" s="12">
        <v>231.8</v>
      </c>
      <c r="C2181" s="12">
        <v>12.9</v>
      </c>
      <c r="D2181" s="12">
        <v>4.75</v>
      </c>
      <c r="E2181" s="12">
        <v>0.38</v>
      </c>
      <c r="F2181" s="12">
        <v>50.0</v>
      </c>
      <c r="G2181" s="13">
        <v>44462.82634271991</v>
      </c>
      <c r="H2181" s="14">
        <f>IFERROR(__xludf.DUMMYFUNCTION("SPLIT(G2181, "", "")"),44462.0)</f>
        <v>44462</v>
      </c>
      <c r="I2181" s="15">
        <f>IFERROR(__xludf.DUMMYFUNCTION("""COMPUTED_VALUE"""),0.8263425925925926)</f>
        <v>0.8263425926</v>
      </c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</row>
    <row r="2182">
      <c r="A2182" s="12">
        <v>0.15</v>
      </c>
      <c r="B2182" s="12">
        <v>231.7</v>
      </c>
      <c r="C2182" s="12">
        <v>12.8</v>
      </c>
      <c r="D2182" s="12">
        <v>4.75</v>
      </c>
      <c r="E2182" s="12">
        <v>0.37</v>
      </c>
      <c r="F2182" s="12">
        <v>50.0</v>
      </c>
      <c r="G2182" s="13">
        <v>44462.82644296296</v>
      </c>
      <c r="H2182" s="14">
        <f>IFERROR(__xludf.DUMMYFUNCTION("SPLIT(G2182, "", "")"),44462.0)</f>
        <v>44462</v>
      </c>
      <c r="I2182" s="15">
        <f>IFERROR(__xludf.DUMMYFUNCTION("""COMPUTED_VALUE"""),0.8264467592592593)</f>
        <v>0.8264467593</v>
      </c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  <c r="AA2182" s="9"/>
    </row>
    <row r="2183">
      <c r="A2183" s="12">
        <v>0.15</v>
      </c>
      <c r="B2183" s="12">
        <v>231.6</v>
      </c>
      <c r="C2183" s="12">
        <v>12.8</v>
      </c>
      <c r="D2183" s="12">
        <v>4.75</v>
      </c>
      <c r="E2183" s="12">
        <v>0.37</v>
      </c>
      <c r="F2183" s="12">
        <v>49.9</v>
      </c>
      <c r="G2183" s="13">
        <v>44462.82654355324</v>
      </c>
      <c r="H2183" s="14">
        <f>IFERROR(__xludf.DUMMYFUNCTION("SPLIT(G2183, "", "")"),44462.0)</f>
        <v>44462</v>
      </c>
      <c r="I2183" s="15">
        <f>IFERROR(__xludf.DUMMYFUNCTION("""COMPUTED_VALUE"""),0.8265393518518519)</f>
        <v>0.8265393519</v>
      </c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  <c r="AA2183" s="9"/>
    </row>
    <row r="2184">
      <c r="A2184" s="12">
        <v>0.15</v>
      </c>
      <c r="B2184" s="12">
        <v>231.5</v>
      </c>
      <c r="C2184" s="12">
        <v>12.8</v>
      </c>
      <c r="D2184" s="12">
        <v>4.75</v>
      </c>
      <c r="E2184" s="12">
        <v>0.37</v>
      </c>
      <c r="F2184" s="12">
        <v>50.0</v>
      </c>
      <c r="G2184" s="13">
        <v>44462.82664513889</v>
      </c>
      <c r="H2184" s="14">
        <f>IFERROR(__xludf.DUMMYFUNCTION("SPLIT(G2184, "", "")"),44462.0)</f>
        <v>44462</v>
      </c>
      <c r="I2184" s="15">
        <f>IFERROR(__xludf.DUMMYFUNCTION("""COMPUTED_VALUE"""),0.8266435185185185)</f>
        <v>0.8266435185</v>
      </c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  <c r="AA2184" s="9"/>
    </row>
    <row r="2185">
      <c r="A2185" s="12">
        <v>0.15</v>
      </c>
      <c r="B2185" s="12">
        <v>231.8</v>
      </c>
      <c r="C2185" s="12">
        <v>12.8</v>
      </c>
      <c r="D2185" s="12">
        <v>4.75</v>
      </c>
      <c r="E2185" s="12">
        <v>0.37</v>
      </c>
      <c r="F2185" s="12">
        <v>50.0</v>
      </c>
      <c r="G2185" s="13">
        <v>44462.82674928241</v>
      </c>
      <c r="H2185" s="14">
        <f>IFERROR(__xludf.DUMMYFUNCTION("SPLIT(G2185, "", "")"),44462.0)</f>
        <v>44462</v>
      </c>
      <c r="I2185" s="15">
        <f>IFERROR(__xludf.DUMMYFUNCTION("""COMPUTED_VALUE"""),0.8267476851851852)</f>
        <v>0.8267476852</v>
      </c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  <c r="AA2185" s="9"/>
    </row>
    <row r="2186">
      <c r="A2186" s="12">
        <v>0.15</v>
      </c>
      <c r="B2186" s="12">
        <v>231.7</v>
      </c>
      <c r="C2186" s="12">
        <v>12.7</v>
      </c>
      <c r="D2186" s="12">
        <v>4.75</v>
      </c>
      <c r="E2186" s="12">
        <v>0.38</v>
      </c>
      <c r="F2186" s="12">
        <v>49.9</v>
      </c>
      <c r="G2186" s="13">
        <v>44462.82685629629</v>
      </c>
      <c r="H2186" s="14">
        <f>IFERROR(__xludf.DUMMYFUNCTION("SPLIT(G2186, "", "")"),44462.0)</f>
        <v>44462</v>
      </c>
      <c r="I2186" s="15">
        <f>IFERROR(__xludf.DUMMYFUNCTION("""COMPUTED_VALUE"""),0.8268518518518518)</f>
        <v>0.8268518519</v>
      </c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  <c r="AA2186" s="9"/>
    </row>
    <row r="2187">
      <c r="A2187" s="12">
        <v>0.15</v>
      </c>
      <c r="B2187" s="12">
        <v>231.7</v>
      </c>
      <c r="C2187" s="12">
        <v>12.8</v>
      </c>
      <c r="D2187" s="12">
        <v>4.75</v>
      </c>
      <c r="E2187" s="12">
        <v>0.38</v>
      </c>
      <c r="F2187" s="12">
        <v>49.9</v>
      </c>
      <c r="G2187" s="13">
        <v>44462.82695674768</v>
      </c>
      <c r="H2187" s="14">
        <f>IFERROR(__xludf.DUMMYFUNCTION("SPLIT(G2187, "", "")"),44462.0)</f>
        <v>44462</v>
      </c>
      <c r="I2187" s="15">
        <f>IFERROR(__xludf.DUMMYFUNCTION("""COMPUTED_VALUE"""),0.8269560185185185)</f>
        <v>0.8269560185</v>
      </c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  <c r="AA2187" s="9"/>
    </row>
    <row r="2188">
      <c r="A2188" s="12">
        <v>0.15</v>
      </c>
      <c r="B2188" s="12">
        <v>231.7</v>
      </c>
      <c r="C2188" s="12">
        <v>12.8</v>
      </c>
      <c r="D2188" s="12">
        <v>4.75</v>
      </c>
      <c r="E2188" s="12">
        <v>0.37</v>
      </c>
      <c r="F2188" s="12">
        <v>49.9</v>
      </c>
      <c r="G2188" s="13">
        <v>44462.82706137732</v>
      </c>
      <c r="H2188" s="14">
        <f>IFERROR(__xludf.DUMMYFUNCTION("SPLIT(G2188, "", "")"),44462.0)</f>
        <v>44462</v>
      </c>
      <c r="I2188" s="15">
        <f>IFERROR(__xludf.DUMMYFUNCTION("""COMPUTED_VALUE"""),0.8270601851851852)</f>
        <v>0.8270601852</v>
      </c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  <c r="AA2188" s="9"/>
    </row>
    <row r="2189">
      <c r="A2189" s="12">
        <v>0.15</v>
      </c>
      <c r="B2189" s="12">
        <v>231.6</v>
      </c>
      <c r="C2189" s="12">
        <v>12.6</v>
      </c>
      <c r="D2189" s="12">
        <v>4.75</v>
      </c>
      <c r="E2189" s="12">
        <v>0.37</v>
      </c>
      <c r="F2189" s="12">
        <v>49.9</v>
      </c>
      <c r="G2189" s="13">
        <v>44462.82716935185</v>
      </c>
      <c r="H2189" s="14">
        <f>IFERROR(__xludf.DUMMYFUNCTION("SPLIT(G2189, "", "")"),44462.0)</f>
        <v>44462</v>
      </c>
      <c r="I2189" s="15">
        <f>IFERROR(__xludf.DUMMYFUNCTION("""COMPUTED_VALUE"""),0.8271643518518519)</f>
        <v>0.8271643519</v>
      </c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  <c r="AA2189" s="9"/>
    </row>
    <row r="2190">
      <c r="A2190" s="12">
        <v>0.15</v>
      </c>
      <c r="B2190" s="12">
        <v>231.7</v>
      </c>
      <c r="C2190" s="12">
        <v>12.7</v>
      </c>
      <c r="D2190" s="12">
        <v>4.75</v>
      </c>
      <c r="E2190" s="12">
        <v>0.37</v>
      </c>
      <c r="F2190" s="12">
        <v>50.0</v>
      </c>
      <c r="G2190" s="13">
        <v>44462.82727511574</v>
      </c>
      <c r="H2190" s="14">
        <f>IFERROR(__xludf.DUMMYFUNCTION("SPLIT(G2190, "", "")"),44462.0)</f>
        <v>44462</v>
      </c>
      <c r="I2190" s="15">
        <f>IFERROR(__xludf.DUMMYFUNCTION("""COMPUTED_VALUE"""),0.8272800925925926)</f>
        <v>0.8272800926</v>
      </c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  <c r="AA2190" s="9"/>
    </row>
    <row r="2191">
      <c r="A2191" s="12">
        <v>0.14</v>
      </c>
      <c r="B2191" s="12">
        <v>230.0</v>
      </c>
      <c r="C2191" s="12">
        <v>12.0</v>
      </c>
      <c r="D2191" s="12">
        <v>4.75</v>
      </c>
      <c r="E2191" s="12">
        <v>0.37</v>
      </c>
      <c r="F2191" s="12">
        <v>50.0</v>
      </c>
      <c r="G2191" s="13">
        <v>44462.82738376157</v>
      </c>
      <c r="H2191" s="14">
        <f>IFERROR(__xludf.DUMMYFUNCTION("SPLIT(G2191, "", "")"),44462.0)</f>
        <v>44462</v>
      </c>
      <c r="I2191" s="15">
        <f>IFERROR(__xludf.DUMMYFUNCTION("""COMPUTED_VALUE"""),0.8273842592592593)</f>
        <v>0.8273842593</v>
      </c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  <c r="AA2191" s="9"/>
    </row>
    <row r="2192">
      <c r="A2192" s="12">
        <v>0.14</v>
      </c>
      <c r="B2192" s="12">
        <v>230.0</v>
      </c>
      <c r="C2192" s="12">
        <v>12.0</v>
      </c>
      <c r="D2192" s="12">
        <v>4.75</v>
      </c>
      <c r="E2192" s="12">
        <v>0.36</v>
      </c>
      <c r="F2192" s="12">
        <v>50.0</v>
      </c>
      <c r="G2192" s="13">
        <v>44462.827486504626</v>
      </c>
      <c r="H2192" s="14">
        <f>IFERROR(__xludf.DUMMYFUNCTION("SPLIT(G2192, "", "")"),44462.0)</f>
        <v>44462</v>
      </c>
      <c r="I2192" s="15">
        <f>IFERROR(__xludf.DUMMYFUNCTION("""COMPUTED_VALUE"""),0.827488425925926)</f>
        <v>0.8274884259</v>
      </c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  <c r="AA2192" s="9"/>
    </row>
    <row r="2193">
      <c r="A2193" s="12">
        <v>0.14</v>
      </c>
      <c r="B2193" s="12">
        <v>230.2</v>
      </c>
      <c r="C2193" s="12">
        <v>12.2</v>
      </c>
      <c r="D2193" s="12">
        <v>4.75</v>
      </c>
      <c r="E2193" s="12">
        <v>0.37</v>
      </c>
      <c r="F2193" s="12">
        <v>50.0</v>
      </c>
      <c r="G2193" s="13">
        <v>44462.827586921296</v>
      </c>
      <c r="H2193" s="14">
        <f>IFERROR(__xludf.DUMMYFUNCTION("SPLIT(G2193, "", "")"),44462.0)</f>
        <v>44462</v>
      </c>
      <c r="I2193" s="15">
        <f>IFERROR(__xludf.DUMMYFUNCTION("""COMPUTED_VALUE"""),0.8275925925925925)</f>
        <v>0.8275925926</v>
      </c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  <c r="AA2193" s="9"/>
    </row>
    <row r="2194">
      <c r="A2194" s="12">
        <v>0.14</v>
      </c>
      <c r="B2194" s="12">
        <v>230.3</v>
      </c>
      <c r="C2194" s="12">
        <v>12.3</v>
      </c>
      <c r="D2194" s="12">
        <v>4.75</v>
      </c>
      <c r="E2194" s="12">
        <v>0.37</v>
      </c>
      <c r="F2194" s="12">
        <v>50.0</v>
      </c>
      <c r="G2194" s="13">
        <v>44462.82769039352</v>
      </c>
      <c r="H2194" s="14">
        <f>IFERROR(__xludf.DUMMYFUNCTION("SPLIT(G2194, "", "")"),44462.0)</f>
        <v>44462</v>
      </c>
      <c r="I2194" s="15">
        <f>IFERROR(__xludf.DUMMYFUNCTION("""COMPUTED_VALUE"""),0.8276851851851852)</f>
        <v>0.8276851852</v>
      </c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  <c r="AA2194" s="9"/>
    </row>
    <row r="2195">
      <c r="A2195" s="12">
        <v>0.15</v>
      </c>
      <c r="B2195" s="12">
        <v>230.5</v>
      </c>
      <c r="C2195" s="12">
        <v>12.4</v>
      </c>
      <c r="D2195" s="12">
        <v>4.75</v>
      </c>
      <c r="E2195" s="12">
        <v>0.37</v>
      </c>
      <c r="F2195" s="12">
        <v>50.0</v>
      </c>
      <c r="G2195" s="13">
        <v>44462.82779358796</v>
      </c>
      <c r="H2195" s="14">
        <f>IFERROR(__xludf.DUMMYFUNCTION("SPLIT(G2195, "", "")"),44462.0)</f>
        <v>44462</v>
      </c>
      <c r="I2195" s="15">
        <f>IFERROR(__xludf.DUMMYFUNCTION("""COMPUTED_VALUE"""),0.8277893518518519)</f>
        <v>0.8277893519</v>
      </c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  <c r="AA2195" s="9"/>
    </row>
    <row r="2196">
      <c r="A2196" s="12">
        <v>0.14</v>
      </c>
      <c r="B2196" s="12">
        <v>230.5</v>
      </c>
      <c r="C2196" s="12">
        <v>12.2</v>
      </c>
      <c r="D2196" s="12">
        <v>4.75</v>
      </c>
      <c r="E2196" s="12">
        <v>0.37</v>
      </c>
      <c r="F2196" s="12">
        <v>50.0</v>
      </c>
      <c r="G2196" s="13">
        <v>44462.82789502315</v>
      </c>
      <c r="H2196" s="14">
        <f>IFERROR(__xludf.DUMMYFUNCTION("SPLIT(G2196, "", "")"),44462.0)</f>
        <v>44462</v>
      </c>
      <c r="I2196" s="15">
        <f>IFERROR(__xludf.DUMMYFUNCTION("""COMPUTED_VALUE"""),0.8278935185185186)</f>
        <v>0.8278935185</v>
      </c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  <c r="AA2196" s="9"/>
    </row>
    <row r="2197">
      <c r="A2197" s="12">
        <v>0.14</v>
      </c>
      <c r="B2197" s="12">
        <v>230.6</v>
      </c>
      <c r="C2197" s="12">
        <v>12.3</v>
      </c>
      <c r="D2197" s="12">
        <v>4.75</v>
      </c>
      <c r="E2197" s="12">
        <v>0.37</v>
      </c>
      <c r="F2197" s="12">
        <v>50.0</v>
      </c>
      <c r="G2197" s="13">
        <v>44462.827995740736</v>
      </c>
      <c r="H2197" s="14">
        <f>IFERROR(__xludf.DUMMYFUNCTION("SPLIT(G2197, "", "")"),44462.0)</f>
        <v>44462</v>
      </c>
      <c r="I2197" s="15">
        <f>IFERROR(__xludf.DUMMYFUNCTION("""COMPUTED_VALUE"""),0.8279976851851852)</f>
        <v>0.8279976852</v>
      </c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  <c r="AA2197" s="9"/>
    </row>
    <row r="2198">
      <c r="A2198" s="12">
        <v>0.14</v>
      </c>
      <c r="B2198" s="12">
        <v>230.7</v>
      </c>
      <c r="C2198" s="12">
        <v>12.3</v>
      </c>
      <c r="D2198" s="12">
        <v>4.75</v>
      </c>
      <c r="E2198" s="12">
        <v>0.37</v>
      </c>
      <c r="F2198" s="12">
        <v>50.0</v>
      </c>
      <c r="G2198" s="13">
        <v>44462.828099189814</v>
      </c>
      <c r="H2198" s="14">
        <f>IFERROR(__xludf.DUMMYFUNCTION("SPLIT(G2198, "", "")"),44462.0)</f>
        <v>44462</v>
      </c>
      <c r="I2198" s="15">
        <f>IFERROR(__xludf.DUMMYFUNCTION("""COMPUTED_VALUE"""),0.8281018518518518)</f>
        <v>0.8281018519</v>
      </c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  <c r="AA2198" s="9"/>
    </row>
    <row r="2199">
      <c r="A2199" s="12">
        <v>0.14</v>
      </c>
      <c r="B2199" s="12">
        <v>230.6</v>
      </c>
      <c r="C2199" s="12">
        <v>12.2</v>
      </c>
      <c r="D2199" s="12">
        <v>4.75</v>
      </c>
      <c r="E2199" s="12">
        <v>0.37</v>
      </c>
      <c r="F2199" s="12">
        <v>50.0</v>
      </c>
      <c r="G2199" s="13">
        <v>44462.82820103009</v>
      </c>
      <c r="H2199" s="14">
        <f>IFERROR(__xludf.DUMMYFUNCTION("SPLIT(G2199, "", "")"),44462.0)</f>
        <v>44462</v>
      </c>
      <c r="I2199" s="15">
        <f>IFERROR(__xludf.DUMMYFUNCTION("""COMPUTED_VALUE"""),0.8282060185185185)</f>
        <v>0.8282060185</v>
      </c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</row>
    <row r="2200">
      <c r="A2200" s="12">
        <v>0.14</v>
      </c>
      <c r="B2200" s="12">
        <v>230.6</v>
      </c>
      <c r="C2200" s="12">
        <v>12.2</v>
      </c>
      <c r="D2200" s="12">
        <v>4.75</v>
      </c>
      <c r="E2200" s="12">
        <v>0.37</v>
      </c>
      <c r="F2200" s="12">
        <v>50.0</v>
      </c>
      <c r="G2200" s="13">
        <v>44462.82829954861</v>
      </c>
      <c r="H2200" s="14">
        <f>IFERROR(__xludf.DUMMYFUNCTION("SPLIT(G2200, "", "")"),44462.0)</f>
        <v>44462</v>
      </c>
      <c r="I2200" s="15">
        <f>IFERROR(__xludf.DUMMYFUNCTION("""COMPUTED_VALUE"""),0.8282986111111111)</f>
        <v>0.8282986111</v>
      </c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  <c r="AA2200" s="9"/>
    </row>
    <row r="2201">
      <c r="A2201" s="12">
        <v>0.14</v>
      </c>
      <c r="B2201" s="12">
        <v>230.6</v>
      </c>
      <c r="C2201" s="12">
        <v>12.2</v>
      </c>
      <c r="D2201" s="12">
        <v>4.75</v>
      </c>
      <c r="E2201" s="12">
        <v>0.37</v>
      </c>
      <c r="F2201" s="12">
        <v>50.0</v>
      </c>
      <c r="G2201" s="13">
        <v>44462.82840233797</v>
      </c>
      <c r="H2201" s="14">
        <f>IFERROR(__xludf.DUMMYFUNCTION("SPLIT(G2201, "", "")"),44462.0)</f>
        <v>44462</v>
      </c>
      <c r="I2201" s="15">
        <f>IFERROR(__xludf.DUMMYFUNCTION("""COMPUTED_VALUE"""),0.8284027777777778)</f>
        <v>0.8284027778</v>
      </c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  <c r="AA2201" s="9"/>
    </row>
    <row r="2202">
      <c r="A2202" s="12">
        <v>0.14</v>
      </c>
      <c r="B2202" s="12">
        <v>230.6</v>
      </c>
      <c r="C2202" s="12">
        <v>12.2</v>
      </c>
      <c r="D2202" s="12">
        <v>4.75</v>
      </c>
      <c r="E2202" s="12">
        <v>0.37</v>
      </c>
      <c r="F2202" s="12">
        <v>50.0</v>
      </c>
      <c r="G2202" s="13">
        <v>44462.82850365741</v>
      </c>
      <c r="H2202" s="14">
        <f>IFERROR(__xludf.DUMMYFUNCTION("SPLIT(G2202, "", "")"),44462.0)</f>
        <v>44462</v>
      </c>
      <c r="I2202" s="15">
        <f>IFERROR(__xludf.DUMMYFUNCTION("""COMPUTED_VALUE"""),0.8285069444444444)</f>
        <v>0.8285069444</v>
      </c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  <c r="AA2202" s="9"/>
    </row>
    <row r="2203">
      <c r="A2203" s="12">
        <v>0.14</v>
      </c>
      <c r="B2203" s="12">
        <v>230.7</v>
      </c>
      <c r="C2203" s="12">
        <v>12.2</v>
      </c>
      <c r="D2203" s="12">
        <v>4.75</v>
      </c>
      <c r="E2203" s="12">
        <v>0.37</v>
      </c>
      <c r="F2203" s="12">
        <v>50.0</v>
      </c>
      <c r="G2203" s="13">
        <v>44462.82860570602</v>
      </c>
      <c r="H2203" s="14">
        <f>IFERROR(__xludf.DUMMYFUNCTION("SPLIT(G2203, "", "")"),44462.0)</f>
        <v>44462</v>
      </c>
      <c r="I2203" s="15">
        <f>IFERROR(__xludf.DUMMYFUNCTION("""COMPUTED_VALUE"""),0.8286111111111111)</f>
        <v>0.8286111111</v>
      </c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  <c r="AA2203" s="9"/>
    </row>
    <row r="2204">
      <c r="A2204" s="12">
        <v>0.14</v>
      </c>
      <c r="B2204" s="12">
        <v>230.6</v>
      </c>
      <c r="C2204" s="12">
        <v>12.1</v>
      </c>
      <c r="D2204" s="12">
        <v>4.75</v>
      </c>
      <c r="E2204" s="12">
        <v>0.36</v>
      </c>
      <c r="F2204" s="12">
        <v>50.0</v>
      </c>
      <c r="G2204" s="13">
        <v>44462.828799201394</v>
      </c>
      <c r="H2204" s="14">
        <f>IFERROR(__xludf.DUMMYFUNCTION("SPLIT(G2204, "", "")"),44462.0)</f>
        <v>44462</v>
      </c>
      <c r="I2204" s="15">
        <f>IFERROR(__xludf.DUMMYFUNCTION("""COMPUTED_VALUE"""),0.8287962962962963)</f>
        <v>0.8287962963</v>
      </c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  <c r="AA2204" s="9"/>
    </row>
    <row r="2205">
      <c r="A2205" s="12">
        <v>0.14</v>
      </c>
      <c r="B2205" s="12">
        <v>230.5</v>
      </c>
      <c r="C2205" s="12">
        <v>12.1</v>
      </c>
      <c r="D2205" s="12">
        <v>4.75</v>
      </c>
      <c r="E2205" s="12">
        <v>0.37</v>
      </c>
      <c r="F2205" s="12">
        <v>49.9</v>
      </c>
      <c r="G2205" s="13">
        <v>44462.828919444444</v>
      </c>
      <c r="H2205" s="14">
        <f>IFERROR(__xludf.DUMMYFUNCTION("SPLIT(G2205, "", "")"),44462.0)</f>
        <v>44462</v>
      </c>
      <c r="I2205" s="15">
        <f>IFERROR(__xludf.DUMMYFUNCTION("""COMPUTED_VALUE"""),0.8289236111111111)</f>
        <v>0.8289236111</v>
      </c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  <c r="AA2205" s="9"/>
    </row>
    <row r="2206">
      <c r="A2206" s="12">
        <v>0.14</v>
      </c>
      <c r="B2206" s="12">
        <v>230.6</v>
      </c>
      <c r="C2206" s="12">
        <v>12.1</v>
      </c>
      <c r="D2206" s="12">
        <v>4.75</v>
      </c>
      <c r="E2206" s="12">
        <v>0.37</v>
      </c>
      <c r="F2206" s="12">
        <v>50.0</v>
      </c>
      <c r="G2206" s="13">
        <v>44462.82902479167</v>
      </c>
      <c r="H2206" s="14">
        <f>IFERROR(__xludf.DUMMYFUNCTION("SPLIT(G2206, "", "")"),44462.0)</f>
        <v>44462</v>
      </c>
      <c r="I2206" s="15">
        <f>IFERROR(__xludf.DUMMYFUNCTION("""COMPUTED_VALUE"""),0.8290277777777778)</f>
        <v>0.8290277778</v>
      </c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  <c r="AA2206" s="9"/>
    </row>
    <row r="2207">
      <c r="A2207" s="12">
        <v>0.14</v>
      </c>
      <c r="B2207" s="12">
        <v>230.7</v>
      </c>
      <c r="C2207" s="12">
        <v>12.1</v>
      </c>
      <c r="D2207" s="12">
        <v>4.75</v>
      </c>
      <c r="E2207" s="12">
        <v>0.36</v>
      </c>
      <c r="F2207" s="12">
        <v>50.0</v>
      </c>
      <c r="G2207" s="13">
        <v>44462.829131342594</v>
      </c>
      <c r="H2207" s="14">
        <f>IFERROR(__xludf.DUMMYFUNCTION("SPLIT(G2207, "", "")"),44462.0)</f>
        <v>44462</v>
      </c>
      <c r="I2207" s="15">
        <f>IFERROR(__xludf.DUMMYFUNCTION("""COMPUTED_VALUE"""),0.8291319444444445)</f>
        <v>0.8291319444</v>
      </c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  <c r="AA2207" s="9"/>
    </row>
    <row r="2208">
      <c r="A2208" s="12">
        <v>0.14</v>
      </c>
      <c r="B2208" s="12">
        <v>230.8</v>
      </c>
      <c r="C2208" s="12">
        <v>12.0</v>
      </c>
      <c r="D2208" s="12">
        <v>4.75</v>
      </c>
      <c r="E2208" s="12">
        <v>0.36</v>
      </c>
      <c r="F2208" s="12">
        <v>50.0</v>
      </c>
      <c r="G2208" s="13">
        <v>44462.82923263889</v>
      </c>
      <c r="H2208" s="14">
        <f>IFERROR(__xludf.DUMMYFUNCTION("SPLIT(G2208, "", "")"),44462.0)</f>
        <v>44462</v>
      </c>
      <c r="I2208" s="15">
        <f>IFERROR(__xludf.DUMMYFUNCTION("""COMPUTED_VALUE"""),0.8292361111111111)</f>
        <v>0.8292361111</v>
      </c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  <c r="AA2208" s="9"/>
    </row>
    <row r="2209">
      <c r="A2209" s="12">
        <v>0.14</v>
      </c>
      <c r="B2209" s="12">
        <v>230.9</v>
      </c>
      <c r="C2209" s="12">
        <v>12.1</v>
      </c>
      <c r="D2209" s="12">
        <v>4.75</v>
      </c>
      <c r="E2209" s="12">
        <v>0.36</v>
      </c>
      <c r="F2209" s="12">
        <v>50.0</v>
      </c>
      <c r="G2209" s="13">
        <v>44462.829333657406</v>
      </c>
      <c r="H2209" s="14">
        <f>IFERROR(__xludf.DUMMYFUNCTION("SPLIT(G2209, "", "")"),44462.0)</f>
        <v>44462</v>
      </c>
      <c r="I2209" s="15">
        <f>IFERROR(__xludf.DUMMYFUNCTION("""COMPUTED_VALUE"""),0.8293287037037037)</f>
        <v>0.8293287037</v>
      </c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  <c r="AA2209" s="9"/>
    </row>
    <row r="2210">
      <c r="A2210" s="12">
        <v>0.14</v>
      </c>
      <c r="B2210" s="12">
        <v>231.0</v>
      </c>
      <c r="C2210" s="12">
        <v>12.2</v>
      </c>
      <c r="D2210" s="12">
        <v>4.75</v>
      </c>
      <c r="E2210" s="12">
        <v>0.37</v>
      </c>
      <c r="F2210" s="12">
        <v>50.0</v>
      </c>
      <c r="G2210" s="13">
        <v>44462.82943592593</v>
      </c>
      <c r="H2210" s="14">
        <f>IFERROR(__xludf.DUMMYFUNCTION("SPLIT(G2210, "", "")"),44462.0)</f>
        <v>44462</v>
      </c>
      <c r="I2210" s="15">
        <f>IFERROR(__xludf.DUMMYFUNCTION("""COMPUTED_VALUE"""),0.8294328703703704)</f>
        <v>0.8294328704</v>
      </c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  <c r="AA2210" s="9"/>
    </row>
    <row r="2211">
      <c r="A2211" s="12">
        <v>0.14</v>
      </c>
      <c r="B2211" s="12">
        <v>231.1</v>
      </c>
      <c r="C2211" s="12">
        <v>12.1</v>
      </c>
      <c r="D2211" s="12">
        <v>4.75</v>
      </c>
      <c r="E2211" s="12">
        <v>0.36</v>
      </c>
      <c r="F2211" s="12">
        <v>50.0</v>
      </c>
      <c r="G2211" s="13">
        <v>44462.82953386574</v>
      </c>
      <c r="H2211" s="14">
        <f>IFERROR(__xludf.DUMMYFUNCTION("SPLIT(G2211, "", "")"),44462.0)</f>
        <v>44462</v>
      </c>
      <c r="I2211" s="15">
        <f>IFERROR(__xludf.DUMMYFUNCTION("""COMPUTED_VALUE"""),0.8295370370370371)</f>
        <v>0.829537037</v>
      </c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  <c r="AA2211" s="9"/>
    </row>
    <row r="2212">
      <c r="A2212" s="12">
        <v>0.14</v>
      </c>
      <c r="B2212" s="12">
        <v>231.0</v>
      </c>
      <c r="C2212" s="12">
        <v>12.1</v>
      </c>
      <c r="D2212" s="12">
        <v>4.75</v>
      </c>
      <c r="E2212" s="12">
        <v>0.37</v>
      </c>
      <c r="F2212" s="12">
        <v>50.0</v>
      </c>
      <c r="G2212" s="13">
        <v>44462.82963670139</v>
      </c>
      <c r="H2212" s="14">
        <f>IFERROR(__xludf.DUMMYFUNCTION("SPLIT(G2212, "", "")"),44462.0)</f>
        <v>44462</v>
      </c>
      <c r="I2212" s="15">
        <f>IFERROR(__xludf.DUMMYFUNCTION("""COMPUTED_VALUE"""),0.8296412037037038)</f>
        <v>0.8296412037</v>
      </c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  <c r="AA2212" s="9"/>
    </row>
    <row r="2213">
      <c r="A2213" s="12">
        <v>0.14</v>
      </c>
      <c r="B2213" s="12">
        <v>231.1</v>
      </c>
      <c r="C2213" s="12">
        <v>12.1</v>
      </c>
      <c r="D2213" s="12">
        <v>4.75</v>
      </c>
      <c r="E2213" s="12">
        <v>0.37</v>
      </c>
      <c r="F2213" s="12">
        <v>50.0</v>
      </c>
      <c r="G2213" s="13">
        <v>44462.82974371528</v>
      </c>
      <c r="H2213" s="14">
        <f>IFERROR(__xludf.DUMMYFUNCTION("SPLIT(G2213, "", "")"),44462.0)</f>
        <v>44462</v>
      </c>
      <c r="I2213" s="15">
        <f>IFERROR(__xludf.DUMMYFUNCTION("""COMPUTED_VALUE"""),0.8297453703703703)</f>
        <v>0.8297453704</v>
      </c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  <c r="AA2213" s="9"/>
    </row>
    <row r="2214">
      <c r="A2214" s="12">
        <v>0.14</v>
      </c>
      <c r="B2214" s="12">
        <v>231.0</v>
      </c>
      <c r="C2214" s="12">
        <v>12.1</v>
      </c>
      <c r="D2214" s="12">
        <v>4.75</v>
      </c>
      <c r="E2214" s="12">
        <v>0.37</v>
      </c>
      <c r="F2214" s="12">
        <v>50.0</v>
      </c>
      <c r="G2214" s="13">
        <v>44462.82984826389</v>
      </c>
      <c r="H2214" s="14">
        <f>IFERROR(__xludf.DUMMYFUNCTION("SPLIT(G2214, "", "")"),44462.0)</f>
        <v>44462</v>
      </c>
      <c r="I2214" s="15">
        <f>IFERROR(__xludf.DUMMYFUNCTION("""COMPUTED_VALUE"""),0.829849537037037)</f>
        <v>0.829849537</v>
      </c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  <c r="AA2214" s="9"/>
    </row>
    <row r="2215">
      <c r="A2215" s="12">
        <v>0.14</v>
      </c>
      <c r="B2215" s="12">
        <v>230.9</v>
      </c>
      <c r="C2215" s="12">
        <v>12.0</v>
      </c>
      <c r="D2215" s="12">
        <v>4.75</v>
      </c>
      <c r="E2215" s="12">
        <v>0.36</v>
      </c>
      <c r="F2215" s="12">
        <v>50.0</v>
      </c>
      <c r="G2215" s="13">
        <v>44462.82995409722</v>
      </c>
      <c r="H2215" s="14">
        <f>IFERROR(__xludf.DUMMYFUNCTION("SPLIT(G2215, "", "")"),44462.0)</f>
        <v>44462</v>
      </c>
      <c r="I2215" s="15">
        <f>IFERROR(__xludf.DUMMYFUNCTION("""COMPUTED_VALUE"""),0.8299537037037037)</f>
        <v>0.8299537037</v>
      </c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  <c r="AA2215" s="9"/>
    </row>
    <row r="2216">
      <c r="A2216" s="12">
        <v>0.14</v>
      </c>
      <c r="B2216" s="12">
        <v>230.7</v>
      </c>
      <c r="C2216" s="12">
        <v>11.9</v>
      </c>
      <c r="D2216" s="12">
        <v>4.75</v>
      </c>
      <c r="E2216" s="12">
        <v>0.37</v>
      </c>
      <c r="F2216" s="12">
        <v>50.0</v>
      </c>
      <c r="G2216" s="13">
        <v>44462.830055300925</v>
      </c>
      <c r="H2216" s="14">
        <f>IFERROR(__xludf.DUMMYFUNCTION("SPLIT(G2216, "", "")"),44462.0)</f>
        <v>44462</v>
      </c>
      <c r="I2216" s="15">
        <f>IFERROR(__xludf.DUMMYFUNCTION("""COMPUTED_VALUE"""),0.8300578703703704)</f>
        <v>0.8300578704</v>
      </c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  <c r="AA2216" s="9"/>
    </row>
    <row r="2217">
      <c r="A2217" s="12">
        <v>0.14</v>
      </c>
      <c r="B2217" s="12">
        <v>230.7</v>
      </c>
      <c r="C2217" s="12">
        <v>11.9</v>
      </c>
      <c r="D2217" s="12">
        <v>4.75</v>
      </c>
      <c r="E2217" s="12">
        <v>0.36</v>
      </c>
      <c r="F2217" s="12">
        <v>50.0</v>
      </c>
      <c r="G2217" s="13">
        <v>44462.83015862269</v>
      </c>
      <c r="H2217" s="14">
        <f>IFERROR(__xludf.DUMMYFUNCTION("SPLIT(G2217, "", "")"),44462.0)</f>
        <v>44462</v>
      </c>
      <c r="I2217" s="15">
        <f>IFERROR(__xludf.DUMMYFUNCTION("""COMPUTED_VALUE"""),0.8301620370370371)</f>
        <v>0.830162037</v>
      </c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  <c r="AA2217" s="9"/>
    </row>
    <row r="2218">
      <c r="A2218" s="12">
        <v>0.14</v>
      </c>
      <c r="B2218" s="12">
        <v>230.7</v>
      </c>
      <c r="C2218" s="12">
        <v>11.8</v>
      </c>
      <c r="D2218" s="12">
        <v>4.75</v>
      </c>
      <c r="E2218" s="12">
        <v>0.36</v>
      </c>
      <c r="F2218" s="12">
        <v>49.9</v>
      </c>
      <c r="G2218" s="13">
        <v>44462.83026390046</v>
      </c>
      <c r="H2218" s="14">
        <f>IFERROR(__xludf.DUMMYFUNCTION("SPLIT(G2218, "", "")"),44462.0)</f>
        <v>44462</v>
      </c>
      <c r="I2218" s="15">
        <f>IFERROR(__xludf.DUMMYFUNCTION("""COMPUTED_VALUE"""),0.8302662037037037)</f>
        <v>0.8302662037</v>
      </c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  <c r="AA2218" s="9"/>
    </row>
    <row r="2219">
      <c r="A2219" s="12">
        <v>0.14</v>
      </c>
      <c r="B2219" s="12">
        <v>230.6</v>
      </c>
      <c r="C2219" s="12">
        <v>11.9</v>
      </c>
      <c r="D2219" s="12">
        <v>4.75</v>
      </c>
      <c r="E2219" s="12">
        <v>0.37</v>
      </c>
      <c r="F2219" s="12">
        <v>50.0</v>
      </c>
      <c r="G2219" s="13">
        <v>44462.83037098379</v>
      </c>
      <c r="H2219" s="14">
        <f>IFERROR(__xludf.DUMMYFUNCTION("SPLIT(G2219, "", "")"),44462.0)</f>
        <v>44462</v>
      </c>
      <c r="I2219" s="15">
        <f>IFERROR(__xludf.DUMMYFUNCTION("""COMPUTED_VALUE"""),0.8303703703703704)</f>
        <v>0.8303703704</v>
      </c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  <c r="AA2219" s="9"/>
    </row>
    <row r="2220">
      <c r="A2220" s="12">
        <v>0.14</v>
      </c>
      <c r="B2220" s="12">
        <v>230.7</v>
      </c>
      <c r="C2220" s="12">
        <v>11.9</v>
      </c>
      <c r="D2220" s="12">
        <v>4.75</v>
      </c>
      <c r="E2220" s="12">
        <v>0.37</v>
      </c>
      <c r="F2220" s="12">
        <v>50.0</v>
      </c>
      <c r="G2220" s="13">
        <v>44462.8304687037</v>
      </c>
      <c r="H2220" s="14">
        <f>IFERROR(__xludf.DUMMYFUNCTION("SPLIT(G2220, "", "")"),44462.0)</f>
        <v>44462</v>
      </c>
      <c r="I2220" s="15">
        <f>IFERROR(__xludf.DUMMYFUNCTION("""COMPUTED_VALUE"""),0.830462962962963)</f>
        <v>0.830462963</v>
      </c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  <c r="AA2220" s="9"/>
    </row>
    <row r="2221">
      <c r="A2221" s="12">
        <v>0.14</v>
      </c>
      <c r="B2221" s="12">
        <v>230.7</v>
      </c>
      <c r="C2221" s="12">
        <v>11.8</v>
      </c>
      <c r="D2221" s="12">
        <v>4.75</v>
      </c>
      <c r="E2221" s="12">
        <v>0.36</v>
      </c>
      <c r="F2221" s="12">
        <v>50.0</v>
      </c>
      <c r="G2221" s="13">
        <v>44462.83057061343</v>
      </c>
      <c r="H2221" s="14">
        <f>IFERROR(__xludf.DUMMYFUNCTION("SPLIT(G2221, "", "")"),44462.0)</f>
        <v>44462</v>
      </c>
      <c r="I2221" s="15">
        <f>IFERROR(__xludf.DUMMYFUNCTION("""COMPUTED_VALUE"""),0.8305671296296296)</f>
        <v>0.8305671296</v>
      </c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  <c r="AA2221" s="9"/>
    </row>
    <row r="2222">
      <c r="A2222" s="12">
        <v>0.14</v>
      </c>
      <c r="B2222" s="12">
        <v>230.8</v>
      </c>
      <c r="C2222" s="12">
        <v>11.9</v>
      </c>
      <c r="D2222" s="12">
        <v>4.75</v>
      </c>
      <c r="E2222" s="12">
        <v>0.37</v>
      </c>
      <c r="F2222" s="12">
        <v>50.0</v>
      </c>
      <c r="G2222" s="13">
        <v>44462.83067575231</v>
      </c>
      <c r="H2222" s="14">
        <f>IFERROR(__xludf.DUMMYFUNCTION("SPLIT(G2222, "", "")"),44462.0)</f>
        <v>44462</v>
      </c>
      <c r="I2222" s="15">
        <f>IFERROR(__xludf.DUMMYFUNCTION("""COMPUTED_VALUE"""),0.8306712962962963)</f>
        <v>0.8306712963</v>
      </c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  <c r="AA2222" s="9"/>
    </row>
    <row r="2223">
      <c r="A2223" s="12">
        <v>0.14</v>
      </c>
      <c r="B2223" s="12">
        <v>230.8</v>
      </c>
      <c r="C2223" s="12">
        <v>11.8</v>
      </c>
      <c r="D2223" s="12">
        <v>4.75</v>
      </c>
      <c r="E2223" s="12">
        <v>0.36</v>
      </c>
      <c r="F2223" s="12">
        <v>50.0</v>
      </c>
      <c r="G2223" s="13">
        <v>44462.83078351852</v>
      </c>
      <c r="H2223" s="14">
        <f>IFERROR(__xludf.DUMMYFUNCTION("SPLIT(G2223, "", "")"),44462.0)</f>
        <v>44462</v>
      </c>
      <c r="I2223" s="15">
        <f>IFERROR(__xludf.DUMMYFUNCTION("""COMPUTED_VALUE"""),0.830787037037037)</f>
        <v>0.830787037</v>
      </c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  <c r="AA2223" s="9"/>
    </row>
    <row r="2224">
      <c r="A2224" s="12">
        <v>0.14</v>
      </c>
      <c r="B2224" s="12">
        <v>230.8</v>
      </c>
      <c r="C2224" s="12">
        <v>11.8</v>
      </c>
      <c r="D2224" s="12">
        <v>4.75</v>
      </c>
      <c r="E2224" s="12">
        <v>0.36</v>
      </c>
      <c r="F2224" s="12">
        <v>50.0</v>
      </c>
      <c r="G2224" s="13">
        <v>44462.83088537037</v>
      </c>
      <c r="H2224" s="14">
        <f>IFERROR(__xludf.DUMMYFUNCTION("SPLIT(G2224, "", "")"),44462.0)</f>
        <v>44462</v>
      </c>
      <c r="I2224" s="15">
        <f>IFERROR(__xludf.DUMMYFUNCTION("""COMPUTED_VALUE"""),0.8308796296296296)</f>
        <v>0.8308796296</v>
      </c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  <c r="AA2224" s="9"/>
    </row>
    <row r="2225">
      <c r="A2225" s="12">
        <v>0.14</v>
      </c>
      <c r="B2225" s="12">
        <v>230.8</v>
      </c>
      <c r="C2225" s="12">
        <v>11.8</v>
      </c>
      <c r="D2225" s="12">
        <v>4.75</v>
      </c>
      <c r="E2225" s="12">
        <v>0.37</v>
      </c>
      <c r="F2225" s="12">
        <v>50.0</v>
      </c>
      <c r="G2225" s="13">
        <v>44462.83098774306</v>
      </c>
      <c r="H2225" s="14">
        <f>IFERROR(__xludf.DUMMYFUNCTION("SPLIT(G2225, "", "")"),44462.0)</f>
        <v>44462</v>
      </c>
      <c r="I2225" s="15">
        <f>IFERROR(__xludf.DUMMYFUNCTION("""COMPUTED_VALUE"""),0.8309837962962963)</f>
        <v>0.8309837963</v>
      </c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  <c r="AA2225" s="9"/>
    </row>
    <row r="2226">
      <c r="A2226" s="12">
        <v>0.14</v>
      </c>
      <c r="B2226" s="12">
        <v>230.7</v>
      </c>
      <c r="C2226" s="12">
        <v>11.8</v>
      </c>
      <c r="D2226" s="12">
        <v>4.75</v>
      </c>
      <c r="E2226" s="12">
        <v>0.37</v>
      </c>
      <c r="F2226" s="12">
        <v>50.0</v>
      </c>
      <c r="G2226" s="13">
        <v>44462.83109195602</v>
      </c>
      <c r="H2226" s="14">
        <f>IFERROR(__xludf.DUMMYFUNCTION("SPLIT(G2226, "", "")"),44462.0)</f>
        <v>44462</v>
      </c>
      <c r="I2226" s="15">
        <f>IFERROR(__xludf.DUMMYFUNCTION("""COMPUTED_VALUE"""),0.831087962962963)</f>
        <v>0.831087963</v>
      </c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  <c r="AA2226" s="9"/>
    </row>
    <row r="2227">
      <c r="A2227" s="12">
        <v>0.14</v>
      </c>
      <c r="B2227" s="12">
        <v>230.7</v>
      </c>
      <c r="C2227" s="12">
        <v>11.8</v>
      </c>
      <c r="D2227" s="12">
        <v>4.75</v>
      </c>
      <c r="E2227" s="12">
        <v>0.37</v>
      </c>
      <c r="F2227" s="12">
        <v>50.0</v>
      </c>
      <c r="G2227" s="13">
        <v>44462.83119413194</v>
      </c>
      <c r="H2227" s="14">
        <f>IFERROR(__xludf.DUMMYFUNCTION("SPLIT(G2227, "", "")"),44462.0)</f>
        <v>44462</v>
      </c>
      <c r="I2227" s="15">
        <f>IFERROR(__xludf.DUMMYFUNCTION("""COMPUTED_VALUE"""),0.8311921296296296)</f>
        <v>0.8311921296</v>
      </c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  <c r="AA2227" s="9"/>
    </row>
    <row r="2228">
      <c r="A2228" s="12">
        <v>0.14</v>
      </c>
      <c r="B2228" s="12">
        <v>230.6</v>
      </c>
      <c r="C2228" s="12">
        <v>11.7</v>
      </c>
      <c r="D2228" s="12">
        <v>4.75</v>
      </c>
      <c r="E2228" s="12">
        <v>0.36</v>
      </c>
      <c r="F2228" s="12">
        <v>50.0</v>
      </c>
      <c r="G2228" s="13">
        <v>44462.83129569444</v>
      </c>
      <c r="H2228" s="14">
        <f>IFERROR(__xludf.DUMMYFUNCTION("SPLIT(G2228, "", "")"),44462.0)</f>
        <v>44462</v>
      </c>
      <c r="I2228" s="15">
        <f>IFERROR(__xludf.DUMMYFUNCTION("""COMPUTED_VALUE"""),0.8312962962962963)</f>
        <v>0.8312962963</v>
      </c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  <c r="AA2228" s="9"/>
    </row>
    <row r="2229">
      <c r="A2229" s="12">
        <v>0.14</v>
      </c>
      <c r="B2229" s="12">
        <v>230.8</v>
      </c>
      <c r="C2229" s="12">
        <v>11.7</v>
      </c>
      <c r="D2229" s="12">
        <v>4.75</v>
      </c>
      <c r="E2229" s="12">
        <v>0.36</v>
      </c>
      <c r="F2229" s="12">
        <v>49.9</v>
      </c>
      <c r="G2229" s="13">
        <v>44462.8313969213</v>
      </c>
      <c r="H2229" s="14">
        <f>IFERROR(__xludf.DUMMYFUNCTION("SPLIT(G2229, "", "")"),44462.0)</f>
        <v>44462</v>
      </c>
      <c r="I2229" s="15">
        <f>IFERROR(__xludf.DUMMYFUNCTION("""COMPUTED_VALUE"""),0.831400462962963)</f>
        <v>0.831400463</v>
      </c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</row>
    <row r="2230">
      <c r="A2230" s="12">
        <v>0.14</v>
      </c>
      <c r="B2230" s="12">
        <v>230.8</v>
      </c>
      <c r="C2230" s="12">
        <v>11.8</v>
      </c>
      <c r="D2230" s="12">
        <v>4.75</v>
      </c>
      <c r="E2230" s="12">
        <v>0.36</v>
      </c>
      <c r="F2230" s="12">
        <v>50.0</v>
      </c>
      <c r="G2230" s="13">
        <v>44462.83150296296</v>
      </c>
      <c r="H2230" s="14">
        <f>IFERROR(__xludf.DUMMYFUNCTION("SPLIT(G2230, "", "")"),44462.0)</f>
        <v>44462</v>
      </c>
      <c r="I2230" s="15">
        <f>IFERROR(__xludf.DUMMYFUNCTION("""COMPUTED_VALUE"""),0.8315046296296297)</f>
        <v>0.8315046296</v>
      </c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  <c r="AA2230" s="9"/>
    </row>
    <row r="2231">
      <c r="A2231" s="12">
        <v>0.14</v>
      </c>
      <c r="B2231" s="12">
        <v>230.9</v>
      </c>
      <c r="C2231" s="12">
        <v>11.9</v>
      </c>
      <c r="D2231" s="12">
        <v>4.75</v>
      </c>
      <c r="E2231" s="12">
        <v>0.37</v>
      </c>
      <c r="F2231" s="12">
        <v>50.0</v>
      </c>
      <c r="G2231" s="13">
        <v>44462.83161043981</v>
      </c>
      <c r="H2231" s="14">
        <f>IFERROR(__xludf.DUMMYFUNCTION("SPLIT(G2231, "", "")"),44462.0)</f>
        <v>44462</v>
      </c>
      <c r="I2231" s="15">
        <f>IFERROR(__xludf.DUMMYFUNCTION("""COMPUTED_VALUE"""),0.8316087962962962)</f>
        <v>0.8316087963</v>
      </c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  <c r="AA2231" s="9"/>
    </row>
    <row r="2232">
      <c r="A2232" s="12">
        <v>0.14</v>
      </c>
      <c r="B2232" s="12">
        <v>231.0</v>
      </c>
      <c r="C2232" s="12">
        <v>11.9</v>
      </c>
      <c r="D2232" s="12">
        <v>4.75</v>
      </c>
      <c r="E2232" s="12">
        <v>0.37</v>
      </c>
      <c r="F2232" s="12">
        <v>50.0</v>
      </c>
      <c r="G2232" s="13">
        <v>44462.83171458333</v>
      </c>
      <c r="H2232" s="14">
        <f>IFERROR(__xludf.DUMMYFUNCTION("SPLIT(G2232, "", "")"),44462.0)</f>
        <v>44462</v>
      </c>
      <c r="I2232" s="15">
        <f>IFERROR(__xludf.DUMMYFUNCTION("""COMPUTED_VALUE"""),0.8317129629629629)</f>
        <v>0.831712963</v>
      </c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  <c r="AA2232" s="9"/>
    </row>
    <row r="2233">
      <c r="A2233" s="12">
        <v>0.14</v>
      </c>
      <c r="B2233" s="12">
        <v>230.9</v>
      </c>
      <c r="C2233" s="12">
        <v>11.8</v>
      </c>
      <c r="D2233" s="12">
        <v>4.75</v>
      </c>
      <c r="E2233" s="12">
        <v>0.37</v>
      </c>
      <c r="F2233" s="12">
        <v>50.0</v>
      </c>
      <c r="G2233" s="13">
        <v>44462.83182016204</v>
      </c>
      <c r="H2233" s="14">
        <f>IFERROR(__xludf.DUMMYFUNCTION("SPLIT(G2233, "", "")"),44462.0)</f>
        <v>44462</v>
      </c>
      <c r="I2233" s="15">
        <f>IFERROR(__xludf.DUMMYFUNCTION("""COMPUTED_VALUE"""),0.8318171296296296)</f>
        <v>0.8318171296</v>
      </c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  <c r="AA2233" s="9"/>
    </row>
    <row r="2234">
      <c r="A2234" s="12">
        <v>0.14</v>
      </c>
      <c r="B2234" s="12">
        <v>230.8</v>
      </c>
      <c r="C2234" s="12">
        <v>11.6</v>
      </c>
      <c r="D2234" s="12">
        <v>4.75</v>
      </c>
      <c r="E2234" s="12">
        <v>0.36</v>
      </c>
      <c r="F2234" s="12">
        <v>50.0</v>
      </c>
      <c r="G2234" s="13">
        <v>44462.8319971412</v>
      </c>
      <c r="H2234" s="14">
        <f>IFERROR(__xludf.DUMMYFUNCTION("SPLIT(G2234, "", "")"),44462.0)</f>
        <v>44462</v>
      </c>
      <c r="I2234" s="15">
        <f>IFERROR(__xludf.DUMMYFUNCTION("""COMPUTED_VALUE"""),0.8320023148148148)</f>
        <v>0.8320023148</v>
      </c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  <c r="AA2234" s="9"/>
    </row>
    <row r="2235">
      <c r="A2235" s="12">
        <v>0.14</v>
      </c>
      <c r="B2235" s="12">
        <v>230.8</v>
      </c>
      <c r="C2235" s="12">
        <v>11.6</v>
      </c>
      <c r="D2235" s="12">
        <v>4.75</v>
      </c>
      <c r="E2235" s="12">
        <v>0.36</v>
      </c>
      <c r="F2235" s="12">
        <v>50.0</v>
      </c>
      <c r="G2235" s="13">
        <v>44462.83209788194</v>
      </c>
      <c r="H2235" s="14">
        <f>IFERROR(__xludf.DUMMYFUNCTION("SPLIT(G2235, "", "")"),44462.0)</f>
        <v>44462</v>
      </c>
      <c r="I2235" s="15">
        <f>IFERROR(__xludf.DUMMYFUNCTION("""COMPUTED_VALUE"""),0.8320949074074074)</f>
        <v>0.8320949074</v>
      </c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  <c r="AA2235" s="9"/>
    </row>
    <row r="2236">
      <c r="A2236" s="12">
        <v>0.14</v>
      </c>
      <c r="B2236" s="12">
        <v>230.8</v>
      </c>
      <c r="C2236" s="12">
        <v>11.6</v>
      </c>
      <c r="D2236" s="12">
        <v>4.75</v>
      </c>
      <c r="E2236" s="12">
        <v>0.36</v>
      </c>
      <c r="F2236" s="12">
        <v>50.0</v>
      </c>
      <c r="G2236" s="13">
        <v>44462.83219819445</v>
      </c>
      <c r="H2236" s="14">
        <f>IFERROR(__xludf.DUMMYFUNCTION("SPLIT(G2236, "", "")"),44462.0)</f>
        <v>44462</v>
      </c>
      <c r="I2236" s="15">
        <f>IFERROR(__xludf.DUMMYFUNCTION("""COMPUTED_VALUE"""),0.8321990740740741)</f>
        <v>0.8321990741</v>
      </c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  <c r="AA2236" s="9"/>
    </row>
    <row r="2237">
      <c r="A2237" s="12">
        <v>0.14</v>
      </c>
      <c r="B2237" s="12">
        <v>230.9</v>
      </c>
      <c r="C2237" s="12">
        <v>11.7</v>
      </c>
      <c r="D2237" s="12">
        <v>4.75</v>
      </c>
      <c r="E2237" s="12">
        <v>0.36</v>
      </c>
      <c r="F2237" s="12">
        <v>50.0</v>
      </c>
      <c r="G2237" s="13">
        <v>44462.832299236106</v>
      </c>
      <c r="H2237" s="14">
        <f>IFERROR(__xludf.DUMMYFUNCTION("SPLIT(G2237, "", "")"),44462.0)</f>
        <v>44462</v>
      </c>
      <c r="I2237" s="15">
        <f>IFERROR(__xludf.DUMMYFUNCTION("""COMPUTED_VALUE"""),0.8323032407407407)</f>
        <v>0.8323032407</v>
      </c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  <c r="AA2237" s="9"/>
    </row>
    <row r="2238">
      <c r="A2238" s="12">
        <v>0.14</v>
      </c>
      <c r="B2238" s="12">
        <v>230.9</v>
      </c>
      <c r="C2238" s="12">
        <v>11.7</v>
      </c>
      <c r="D2238" s="12">
        <v>4.75</v>
      </c>
      <c r="E2238" s="12">
        <v>0.36</v>
      </c>
      <c r="F2238" s="12">
        <v>50.0</v>
      </c>
      <c r="G2238" s="13">
        <v>44462.83240254629</v>
      </c>
      <c r="H2238" s="14">
        <f>IFERROR(__xludf.DUMMYFUNCTION("SPLIT(G2238, "", "")"),44462.0)</f>
        <v>44462</v>
      </c>
      <c r="I2238" s="15">
        <f>IFERROR(__xludf.DUMMYFUNCTION("""COMPUTED_VALUE"""),0.8324074074074074)</f>
        <v>0.8324074074</v>
      </c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  <c r="AA2238" s="9"/>
    </row>
    <row r="2239">
      <c r="A2239" s="12">
        <v>0.14</v>
      </c>
      <c r="B2239" s="12">
        <v>231.0</v>
      </c>
      <c r="C2239" s="12">
        <v>11.7</v>
      </c>
      <c r="D2239" s="12">
        <v>4.75</v>
      </c>
      <c r="E2239" s="12">
        <v>0.36</v>
      </c>
      <c r="F2239" s="12">
        <v>50.0</v>
      </c>
      <c r="G2239" s="13">
        <v>44462.83250533565</v>
      </c>
      <c r="H2239" s="14">
        <f>IFERROR(__xludf.DUMMYFUNCTION("SPLIT(G2239, "", "")"),44462.0)</f>
        <v>44462</v>
      </c>
      <c r="I2239" s="15">
        <f>IFERROR(__xludf.DUMMYFUNCTION("""COMPUTED_VALUE"""),0.8325)</f>
        <v>0.8325</v>
      </c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  <c r="AA2239" s="9"/>
    </row>
    <row r="2240">
      <c r="A2240" s="12">
        <v>0.14</v>
      </c>
      <c r="B2240" s="12">
        <v>231.1</v>
      </c>
      <c r="C2240" s="12">
        <v>11.7</v>
      </c>
      <c r="D2240" s="12">
        <v>4.75</v>
      </c>
      <c r="E2240" s="12">
        <v>0.36</v>
      </c>
      <c r="F2240" s="12">
        <v>50.0</v>
      </c>
      <c r="G2240" s="13">
        <v>44462.83260783565</v>
      </c>
      <c r="H2240" s="14">
        <f>IFERROR(__xludf.DUMMYFUNCTION("SPLIT(G2240, "", "")"),44462.0)</f>
        <v>44462</v>
      </c>
      <c r="I2240" s="15">
        <f>IFERROR(__xludf.DUMMYFUNCTION("""COMPUTED_VALUE"""),0.8326041666666667)</f>
        <v>0.8326041667</v>
      </c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  <c r="AA2240" s="9"/>
    </row>
    <row r="2241">
      <c r="A2241" s="12">
        <v>0.14</v>
      </c>
      <c r="B2241" s="12">
        <v>231.0</v>
      </c>
      <c r="C2241" s="12">
        <v>11.6</v>
      </c>
      <c r="D2241" s="12">
        <v>4.75</v>
      </c>
      <c r="E2241" s="12">
        <v>0.36</v>
      </c>
      <c r="F2241" s="12">
        <v>50.0</v>
      </c>
      <c r="G2241" s="13">
        <v>44462.83271135417</v>
      </c>
      <c r="H2241" s="14">
        <f>IFERROR(__xludf.DUMMYFUNCTION("SPLIT(G2241, "", "")"),44462.0)</f>
        <v>44462</v>
      </c>
      <c r="I2241" s="15">
        <f>IFERROR(__xludf.DUMMYFUNCTION("""COMPUTED_VALUE"""),0.8327083333333334)</f>
        <v>0.8327083333</v>
      </c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  <c r="AA2241" s="9"/>
    </row>
    <row r="2242">
      <c r="A2242" s="12">
        <v>0.14</v>
      </c>
      <c r="B2242" s="12">
        <v>231.8</v>
      </c>
      <c r="C2242" s="12">
        <v>11.9</v>
      </c>
      <c r="D2242" s="12">
        <v>4.75</v>
      </c>
      <c r="E2242" s="12">
        <v>0.36</v>
      </c>
      <c r="F2242" s="12">
        <v>50.0</v>
      </c>
      <c r="G2242" s="13">
        <v>44462.83281748842</v>
      </c>
      <c r="H2242" s="14">
        <f>IFERROR(__xludf.DUMMYFUNCTION("SPLIT(G2242, "", "")"),44462.0)</f>
        <v>44462</v>
      </c>
      <c r="I2242" s="15">
        <f>IFERROR(__xludf.DUMMYFUNCTION("""COMPUTED_VALUE"""),0.8328125)</f>
        <v>0.8328125</v>
      </c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  <c r="AA2242" s="9"/>
    </row>
    <row r="2243">
      <c r="A2243" s="12">
        <v>0.14</v>
      </c>
      <c r="B2243" s="12">
        <v>231.8</v>
      </c>
      <c r="C2243" s="12">
        <v>11.8</v>
      </c>
      <c r="D2243" s="12">
        <v>4.75</v>
      </c>
      <c r="E2243" s="12">
        <v>0.36</v>
      </c>
      <c r="F2243" s="12">
        <v>49.9</v>
      </c>
      <c r="G2243" s="13">
        <v>44462.83293369213</v>
      </c>
      <c r="H2243" s="14">
        <f>IFERROR(__xludf.DUMMYFUNCTION("SPLIT(G2243, "", "")"),44462.0)</f>
        <v>44462</v>
      </c>
      <c r="I2243" s="15">
        <f>IFERROR(__xludf.DUMMYFUNCTION("""COMPUTED_VALUE"""),0.8329282407407408)</f>
        <v>0.8329282407</v>
      </c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  <c r="AA2243" s="9"/>
    </row>
    <row r="2244">
      <c r="A2244" s="12">
        <v>0.14</v>
      </c>
      <c r="B2244" s="12">
        <v>231.8</v>
      </c>
      <c r="C2244" s="12">
        <v>11.8</v>
      </c>
      <c r="D2244" s="12">
        <v>4.75</v>
      </c>
      <c r="E2244" s="12">
        <v>0.36</v>
      </c>
      <c r="F2244" s="12">
        <v>50.0</v>
      </c>
      <c r="G2244" s="13">
        <v>44462.83304528936</v>
      </c>
      <c r="H2244" s="14">
        <f>IFERROR(__xludf.DUMMYFUNCTION("SPLIT(G2244, "", "")"),44462.0)</f>
        <v>44462</v>
      </c>
      <c r="I2244" s="15">
        <f>IFERROR(__xludf.DUMMYFUNCTION("""COMPUTED_VALUE"""),0.8330439814814815)</f>
        <v>0.8330439815</v>
      </c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  <c r="AA2244" s="9"/>
    </row>
    <row r="2245">
      <c r="A2245" s="12">
        <v>0.14</v>
      </c>
      <c r="B2245" s="12">
        <v>231.9</v>
      </c>
      <c r="C2245" s="12">
        <v>11.8</v>
      </c>
      <c r="D2245" s="12">
        <v>4.75</v>
      </c>
      <c r="E2245" s="12">
        <v>0.37</v>
      </c>
      <c r="F2245" s="12">
        <v>49.9</v>
      </c>
      <c r="G2245" s="13">
        <v>44462.83315494213</v>
      </c>
      <c r="H2245" s="14">
        <f>IFERROR(__xludf.DUMMYFUNCTION("SPLIT(G2245, "", "")"),44462.0)</f>
        <v>44462</v>
      </c>
      <c r="I2245" s="15">
        <f>IFERROR(__xludf.DUMMYFUNCTION("""COMPUTED_VALUE"""),0.8331597222222222)</f>
        <v>0.8331597222</v>
      </c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</row>
    <row r="2246">
      <c r="A2246" s="12">
        <v>0.14</v>
      </c>
      <c r="B2246" s="12">
        <v>231.8</v>
      </c>
      <c r="C2246" s="12">
        <v>11.8</v>
      </c>
      <c r="D2246" s="12">
        <v>4.75</v>
      </c>
      <c r="E2246" s="12">
        <v>0.36</v>
      </c>
      <c r="F2246" s="12">
        <v>50.0</v>
      </c>
      <c r="G2246" s="13">
        <v>44462.83326583334</v>
      </c>
      <c r="H2246" s="14">
        <f>IFERROR(__xludf.DUMMYFUNCTION("SPLIT(G2246, "", "")"),44462.0)</f>
        <v>44462</v>
      </c>
      <c r="I2246" s="15">
        <f>IFERROR(__xludf.DUMMYFUNCTION("""COMPUTED_VALUE"""),0.8332638888888889)</f>
        <v>0.8332638889</v>
      </c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</row>
    <row r="2247">
      <c r="A2247" s="12">
        <v>0.14</v>
      </c>
      <c r="B2247" s="12">
        <v>231.8</v>
      </c>
      <c r="C2247" s="12">
        <v>11.7</v>
      </c>
      <c r="D2247" s="12">
        <v>4.75</v>
      </c>
      <c r="E2247" s="12">
        <v>0.36</v>
      </c>
      <c r="F2247" s="12">
        <v>50.0</v>
      </c>
      <c r="G2247" s="13">
        <v>44462.833372696754</v>
      </c>
      <c r="H2247" s="14">
        <f>IFERROR(__xludf.DUMMYFUNCTION("SPLIT(G2247, "", "")"),44462.0)</f>
        <v>44462</v>
      </c>
      <c r="I2247" s="15">
        <f>IFERROR(__xludf.DUMMYFUNCTION("""COMPUTED_VALUE"""),0.8333680555555556)</f>
        <v>0.8333680556</v>
      </c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  <c r="AA2247" s="9"/>
    </row>
    <row r="2248">
      <c r="A2248" s="12">
        <v>0.14</v>
      </c>
      <c r="B2248" s="12">
        <v>232.0</v>
      </c>
      <c r="C2248" s="12">
        <v>11.8</v>
      </c>
      <c r="D2248" s="12">
        <v>4.75</v>
      </c>
      <c r="E2248" s="12">
        <v>0.36</v>
      </c>
      <c r="F2248" s="12">
        <v>50.0</v>
      </c>
      <c r="G2248" s="13">
        <v>44462.83347428241</v>
      </c>
      <c r="H2248" s="14">
        <f>IFERROR(__xludf.DUMMYFUNCTION("SPLIT(G2248, "", "")"),44462.0)</f>
        <v>44462</v>
      </c>
      <c r="I2248" s="15">
        <f>IFERROR(__xludf.DUMMYFUNCTION("""COMPUTED_VALUE"""),0.8334722222222222)</f>
        <v>0.8334722222</v>
      </c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</row>
    <row r="2249">
      <c r="A2249" s="12">
        <v>0.14</v>
      </c>
      <c r="B2249" s="12">
        <v>231.9</v>
      </c>
      <c r="C2249" s="12">
        <v>11.7</v>
      </c>
      <c r="D2249" s="12">
        <v>4.75</v>
      </c>
      <c r="E2249" s="12">
        <v>0.36</v>
      </c>
      <c r="F2249" s="12">
        <v>50.0</v>
      </c>
      <c r="G2249" s="13">
        <v>44462.8335765625</v>
      </c>
      <c r="H2249" s="14">
        <f>IFERROR(__xludf.DUMMYFUNCTION("SPLIT(G2249, "", "")"),44462.0)</f>
        <v>44462</v>
      </c>
      <c r="I2249" s="15">
        <f>IFERROR(__xludf.DUMMYFUNCTION("""COMPUTED_VALUE"""),0.8335763888888889)</f>
        <v>0.8335763889</v>
      </c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</row>
    <row r="2250">
      <c r="A2250" s="12">
        <v>0.14</v>
      </c>
      <c r="B2250" s="12">
        <v>232.1</v>
      </c>
      <c r="C2250" s="12">
        <v>11.8</v>
      </c>
      <c r="D2250" s="12">
        <v>4.75</v>
      </c>
      <c r="E2250" s="12">
        <v>0.36</v>
      </c>
      <c r="F2250" s="12">
        <v>50.0</v>
      </c>
      <c r="G2250" s="13">
        <v>44462.83367934028</v>
      </c>
      <c r="H2250" s="14">
        <f>IFERROR(__xludf.DUMMYFUNCTION("SPLIT(G2250, "", "")"),44462.0)</f>
        <v>44462</v>
      </c>
      <c r="I2250" s="15">
        <f>IFERROR(__xludf.DUMMYFUNCTION("""COMPUTED_VALUE"""),0.8336805555555555)</f>
        <v>0.8336805556</v>
      </c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  <c r="AA2250" s="9"/>
    </row>
    <row r="2251">
      <c r="A2251" s="12">
        <v>0.14</v>
      </c>
      <c r="B2251" s="12">
        <v>232.1</v>
      </c>
      <c r="C2251" s="12">
        <v>11.7</v>
      </c>
      <c r="D2251" s="12">
        <v>4.75</v>
      </c>
      <c r="E2251" s="12">
        <v>0.36</v>
      </c>
      <c r="F2251" s="12">
        <v>50.0</v>
      </c>
      <c r="G2251" s="13">
        <v>44462.83378149306</v>
      </c>
      <c r="H2251" s="14">
        <f>IFERROR(__xludf.DUMMYFUNCTION("SPLIT(G2251, "", "")"),44462.0)</f>
        <v>44462</v>
      </c>
      <c r="I2251" s="15">
        <f>IFERROR(__xludf.DUMMYFUNCTION("""COMPUTED_VALUE"""),0.8337847222222222)</f>
        <v>0.8337847222</v>
      </c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  <c r="AA2251" s="9"/>
    </row>
    <row r="2252">
      <c r="A2252" s="12">
        <v>0.14</v>
      </c>
      <c r="B2252" s="12">
        <v>232.1</v>
      </c>
      <c r="C2252" s="12">
        <v>11.7</v>
      </c>
      <c r="D2252" s="12">
        <v>4.75</v>
      </c>
      <c r="E2252" s="12">
        <v>0.36</v>
      </c>
      <c r="F2252" s="12">
        <v>50.0</v>
      </c>
      <c r="G2252" s="13">
        <v>44462.83388464121</v>
      </c>
      <c r="H2252" s="14">
        <f>IFERROR(__xludf.DUMMYFUNCTION("SPLIT(G2252, "", "")"),44462.0)</f>
        <v>44462</v>
      </c>
      <c r="I2252" s="15">
        <f>IFERROR(__xludf.DUMMYFUNCTION("""COMPUTED_VALUE"""),0.8338888888888889)</f>
        <v>0.8338888889</v>
      </c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  <c r="AA2252" s="9"/>
    </row>
    <row r="2253">
      <c r="A2253" s="12">
        <v>0.14</v>
      </c>
      <c r="B2253" s="12">
        <v>232.1</v>
      </c>
      <c r="C2253" s="12">
        <v>11.7</v>
      </c>
      <c r="D2253" s="12">
        <v>4.75</v>
      </c>
      <c r="E2253" s="12">
        <v>0.36</v>
      </c>
      <c r="F2253" s="12">
        <v>50.0</v>
      </c>
      <c r="G2253" s="13">
        <v>44462.83398596065</v>
      </c>
      <c r="H2253" s="14">
        <f>IFERROR(__xludf.DUMMYFUNCTION("SPLIT(G2253, "", "")"),44462.0)</f>
        <v>44462</v>
      </c>
      <c r="I2253" s="15">
        <f>IFERROR(__xludf.DUMMYFUNCTION("""COMPUTED_VALUE"""),0.8339814814814814)</f>
        <v>0.8339814815</v>
      </c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  <c r="AA2253" s="9"/>
    </row>
    <row r="2254">
      <c r="A2254" s="12">
        <v>0.14</v>
      </c>
      <c r="B2254" s="12">
        <v>232.0</v>
      </c>
      <c r="C2254" s="12">
        <v>11.7</v>
      </c>
      <c r="D2254" s="12">
        <v>4.75</v>
      </c>
      <c r="E2254" s="12">
        <v>0.37</v>
      </c>
      <c r="F2254" s="12">
        <v>50.0</v>
      </c>
      <c r="G2254" s="13">
        <v>44462.834089317126</v>
      </c>
      <c r="H2254" s="14">
        <f>IFERROR(__xludf.DUMMYFUNCTION("SPLIT(G2254, "", "")"),44462.0)</f>
        <v>44462</v>
      </c>
      <c r="I2254" s="15">
        <f>IFERROR(__xludf.DUMMYFUNCTION("""COMPUTED_VALUE"""),0.8340856481481481)</f>
        <v>0.8340856481</v>
      </c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  <c r="AA2254" s="9"/>
    </row>
    <row r="2255">
      <c r="A2255" s="12">
        <v>0.14</v>
      </c>
      <c r="B2255" s="12">
        <v>232.0</v>
      </c>
      <c r="C2255" s="12">
        <v>11.7</v>
      </c>
      <c r="D2255" s="12">
        <v>4.75</v>
      </c>
      <c r="E2255" s="12">
        <v>0.36</v>
      </c>
      <c r="F2255" s="12">
        <v>49.9</v>
      </c>
      <c r="G2255" s="13">
        <v>44462.83419505787</v>
      </c>
      <c r="H2255" s="14">
        <f>IFERROR(__xludf.DUMMYFUNCTION("SPLIT(G2255, "", "")"),44462.0)</f>
        <v>44462</v>
      </c>
      <c r="I2255" s="15">
        <f>IFERROR(__xludf.DUMMYFUNCTION("""COMPUTED_VALUE"""),0.8341898148148148)</f>
        <v>0.8341898148</v>
      </c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  <c r="AA2255" s="9"/>
    </row>
    <row r="2256">
      <c r="A2256" s="12">
        <v>0.14</v>
      </c>
      <c r="B2256" s="12">
        <v>232.0</v>
      </c>
      <c r="C2256" s="12">
        <v>11.7</v>
      </c>
      <c r="D2256" s="12">
        <v>4.75</v>
      </c>
      <c r="E2256" s="12">
        <v>0.37</v>
      </c>
      <c r="F2256" s="12">
        <v>49.9</v>
      </c>
      <c r="G2256" s="13">
        <v>44462.83429594907</v>
      </c>
      <c r="H2256" s="14">
        <f>IFERROR(__xludf.DUMMYFUNCTION("SPLIT(G2256, "", "")"),44462.0)</f>
        <v>44462</v>
      </c>
      <c r="I2256" s="15">
        <f>IFERROR(__xludf.DUMMYFUNCTION("""COMPUTED_VALUE"""),0.8342939814814815)</f>
        <v>0.8342939815</v>
      </c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  <c r="AA2256" s="9"/>
    </row>
    <row r="2257">
      <c r="A2257" s="12">
        <v>0.14</v>
      </c>
      <c r="B2257" s="12">
        <v>232.0</v>
      </c>
      <c r="C2257" s="12">
        <v>11.7</v>
      </c>
      <c r="D2257" s="12">
        <v>4.75</v>
      </c>
      <c r="E2257" s="12">
        <v>0.36</v>
      </c>
      <c r="F2257" s="12">
        <v>49.9</v>
      </c>
      <c r="G2257" s="13">
        <v>44462.834400567124</v>
      </c>
      <c r="H2257" s="14">
        <f>IFERROR(__xludf.DUMMYFUNCTION("SPLIT(G2257, "", "")"),44462.0)</f>
        <v>44462</v>
      </c>
      <c r="I2257" s="15">
        <f>IFERROR(__xludf.DUMMYFUNCTION("""COMPUTED_VALUE"""),0.8343981481481482)</f>
        <v>0.8343981481</v>
      </c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  <c r="AA2257" s="9"/>
    </row>
    <row r="2258">
      <c r="A2258" s="12">
        <v>0.14</v>
      </c>
      <c r="B2258" s="12">
        <v>231.9</v>
      </c>
      <c r="C2258" s="12">
        <v>11.6</v>
      </c>
      <c r="D2258" s="12">
        <v>4.75</v>
      </c>
      <c r="E2258" s="12">
        <v>0.36</v>
      </c>
      <c r="F2258" s="12">
        <v>50.0</v>
      </c>
      <c r="G2258" s="13">
        <v>44462.83450524305</v>
      </c>
      <c r="H2258" s="14">
        <f>IFERROR(__xludf.DUMMYFUNCTION("SPLIT(G2258, "", "")"),44462.0)</f>
        <v>44462</v>
      </c>
      <c r="I2258" s="15">
        <f>IFERROR(__xludf.DUMMYFUNCTION("""COMPUTED_VALUE"""),0.8345023148148148)</f>
        <v>0.8345023148</v>
      </c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  <c r="AA2258" s="9"/>
    </row>
    <row r="2259">
      <c r="A2259" s="12">
        <v>0.14</v>
      </c>
      <c r="B2259" s="12">
        <v>231.8</v>
      </c>
      <c r="C2259" s="12">
        <v>11.5</v>
      </c>
      <c r="D2259" s="12">
        <v>4.75</v>
      </c>
      <c r="E2259" s="12">
        <v>0.36</v>
      </c>
      <c r="F2259" s="12">
        <v>49.9</v>
      </c>
      <c r="G2259" s="13">
        <v>44462.83461211805</v>
      </c>
      <c r="H2259" s="14">
        <f>IFERROR(__xludf.DUMMYFUNCTION("SPLIT(G2259, "", "")"),44462.0)</f>
        <v>44462</v>
      </c>
      <c r="I2259" s="15">
        <f>IFERROR(__xludf.DUMMYFUNCTION("""COMPUTED_VALUE"""),0.8346064814814815)</f>
        <v>0.8346064815</v>
      </c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  <c r="AA2259" s="9"/>
    </row>
    <row r="2260">
      <c r="A2260" s="12">
        <v>0.14</v>
      </c>
      <c r="B2260" s="12">
        <v>231.9</v>
      </c>
      <c r="C2260" s="12">
        <v>11.6</v>
      </c>
      <c r="D2260" s="12">
        <v>4.75</v>
      </c>
      <c r="E2260" s="12">
        <v>0.36</v>
      </c>
      <c r="F2260" s="12">
        <v>49.9</v>
      </c>
      <c r="G2260" s="13">
        <v>44462.8347190162</v>
      </c>
      <c r="H2260" s="14">
        <f>IFERROR(__xludf.DUMMYFUNCTION("SPLIT(G2260, "", "")"),44462.0)</f>
        <v>44462</v>
      </c>
      <c r="I2260" s="15">
        <f>IFERROR(__xludf.DUMMYFUNCTION("""COMPUTED_VALUE"""),0.8347222222222223)</f>
        <v>0.8347222222</v>
      </c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  <c r="AA2260" s="9"/>
    </row>
    <row r="2261">
      <c r="A2261" s="12">
        <v>0.14</v>
      </c>
      <c r="B2261" s="12">
        <v>232.0</v>
      </c>
      <c r="C2261" s="12">
        <v>11.6</v>
      </c>
      <c r="D2261" s="12">
        <v>4.75</v>
      </c>
      <c r="E2261" s="12">
        <v>0.36</v>
      </c>
      <c r="F2261" s="12">
        <v>50.0</v>
      </c>
      <c r="G2261" s="13">
        <v>44462.83482201389</v>
      </c>
      <c r="H2261" s="14">
        <f>IFERROR(__xludf.DUMMYFUNCTION("SPLIT(G2261, "", "")"),44462.0)</f>
        <v>44462</v>
      </c>
      <c r="I2261" s="15">
        <f>IFERROR(__xludf.DUMMYFUNCTION("""COMPUTED_VALUE"""),0.8348263888888889)</f>
        <v>0.8348263889</v>
      </c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  <c r="AA2261" s="9"/>
    </row>
    <row r="2262">
      <c r="A2262" s="12">
        <v>0.14</v>
      </c>
      <c r="B2262" s="12">
        <v>231.9</v>
      </c>
      <c r="C2262" s="12">
        <v>11.6</v>
      </c>
      <c r="D2262" s="12">
        <v>4.75</v>
      </c>
      <c r="E2262" s="12">
        <v>0.36</v>
      </c>
      <c r="F2262" s="12">
        <v>50.0</v>
      </c>
      <c r="G2262" s="13">
        <v>44462.834934768514</v>
      </c>
      <c r="H2262" s="14">
        <f>IFERROR(__xludf.DUMMYFUNCTION("SPLIT(G2262, "", "")"),44462.0)</f>
        <v>44462</v>
      </c>
      <c r="I2262" s="15">
        <f>IFERROR(__xludf.DUMMYFUNCTION("""COMPUTED_VALUE"""),0.8349305555555555)</f>
        <v>0.8349305556</v>
      </c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  <c r="AA2262" s="9"/>
    </row>
    <row r="2263">
      <c r="A2263" s="12">
        <v>0.14</v>
      </c>
      <c r="B2263" s="12">
        <v>231.9</v>
      </c>
      <c r="C2263" s="12">
        <v>11.5</v>
      </c>
      <c r="D2263" s="12">
        <v>4.75</v>
      </c>
      <c r="E2263" s="12">
        <v>0.36</v>
      </c>
      <c r="F2263" s="12">
        <v>50.0</v>
      </c>
      <c r="G2263" s="13">
        <v>44462.83504046296</v>
      </c>
      <c r="H2263" s="14">
        <f>IFERROR(__xludf.DUMMYFUNCTION("SPLIT(G2263, "", "")"),44462.0)</f>
        <v>44462</v>
      </c>
      <c r="I2263" s="15">
        <f>IFERROR(__xludf.DUMMYFUNCTION("""COMPUTED_VALUE"""),0.8350347222222222)</f>
        <v>0.8350347222</v>
      </c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  <c r="AA2263" s="9"/>
    </row>
    <row r="2264">
      <c r="A2264" s="12">
        <v>0.14</v>
      </c>
      <c r="B2264" s="12">
        <v>232.1</v>
      </c>
      <c r="C2264" s="12">
        <v>11.5</v>
      </c>
      <c r="D2264" s="12">
        <v>4.75</v>
      </c>
      <c r="E2264" s="12">
        <v>0.36</v>
      </c>
      <c r="F2264" s="12">
        <v>50.0</v>
      </c>
      <c r="G2264" s="13">
        <v>44462.83514008102</v>
      </c>
      <c r="H2264" s="14">
        <f>IFERROR(__xludf.DUMMYFUNCTION("SPLIT(G2264, "", "")"),44462.0)</f>
        <v>44462</v>
      </c>
      <c r="I2264" s="15">
        <f>IFERROR(__xludf.DUMMYFUNCTION("""COMPUTED_VALUE"""),0.8351388888888889)</f>
        <v>0.8351388889</v>
      </c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  <c r="AA2264" s="9"/>
    </row>
    <row r="2265">
      <c r="A2265" s="12">
        <v>0.14</v>
      </c>
      <c r="B2265" s="12">
        <v>232.0</v>
      </c>
      <c r="C2265" s="12">
        <v>11.5</v>
      </c>
      <c r="D2265" s="12">
        <v>4.75</v>
      </c>
      <c r="E2265" s="12">
        <v>0.36</v>
      </c>
      <c r="F2265" s="12">
        <v>50.0</v>
      </c>
      <c r="G2265" s="13">
        <v>44462.83524355324</v>
      </c>
      <c r="H2265" s="14">
        <f>IFERROR(__xludf.DUMMYFUNCTION("SPLIT(G2265, "", "")"),44462.0)</f>
        <v>44462</v>
      </c>
      <c r="I2265" s="15">
        <f>IFERROR(__xludf.DUMMYFUNCTION("""COMPUTED_VALUE"""),0.8352430555555556)</f>
        <v>0.8352430556</v>
      </c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  <c r="AA2265" s="9"/>
    </row>
    <row r="2266">
      <c r="A2266" s="12">
        <v>0.14</v>
      </c>
      <c r="B2266" s="12">
        <v>232.0</v>
      </c>
      <c r="C2266" s="12">
        <v>11.5</v>
      </c>
      <c r="D2266" s="12">
        <v>4.75</v>
      </c>
      <c r="E2266" s="12">
        <v>0.36</v>
      </c>
      <c r="F2266" s="12">
        <v>50.0</v>
      </c>
      <c r="G2266" s="13">
        <v>44462.83534622686</v>
      </c>
      <c r="H2266" s="14">
        <f>IFERROR(__xludf.DUMMYFUNCTION("SPLIT(G2266, "", "")"),44462.0)</f>
        <v>44462</v>
      </c>
      <c r="I2266" s="15">
        <f>IFERROR(__xludf.DUMMYFUNCTION("""COMPUTED_VALUE"""),0.8353472222222222)</f>
        <v>0.8353472222</v>
      </c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  <c r="AA2266" s="9"/>
    </row>
    <row r="2267">
      <c r="A2267" s="12">
        <v>0.14</v>
      </c>
      <c r="B2267" s="12">
        <v>231.9</v>
      </c>
      <c r="C2267" s="12">
        <v>11.5</v>
      </c>
      <c r="D2267" s="12">
        <v>4.75</v>
      </c>
      <c r="E2267" s="12">
        <v>0.36</v>
      </c>
      <c r="F2267" s="12">
        <v>50.0</v>
      </c>
      <c r="G2267" s="13">
        <v>44462.835446990735</v>
      </c>
      <c r="H2267" s="14">
        <f>IFERROR(__xludf.DUMMYFUNCTION("SPLIT(G2267, "", "")"),44462.0)</f>
        <v>44462</v>
      </c>
      <c r="I2267" s="15">
        <f>IFERROR(__xludf.DUMMYFUNCTION("""COMPUTED_VALUE"""),0.8354513888888889)</f>
        <v>0.8354513889</v>
      </c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  <c r="AA2267" s="9"/>
    </row>
    <row r="2268">
      <c r="A2268" s="12">
        <v>0.14</v>
      </c>
      <c r="B2268" s="12">
        <v>231.8</v>
      </c>
      <c r="C2268" s="12">
        <v>11.4</v>
      </c>
      <c r="D2268" s="12">
        <v>4.75</v>
      </c>
      <c r="E2268" s="12">
        <v>0.36</v>
      </c>
      <c r="F2268" s="12">
        <v>50.0</v>
      </c>
      <c r="G2268" s="13">
        <v>44462.835547442126</v>
      </c>
      <c r="H2268" s="14">
        <f>IFERROR(__xludf.DUMMYFUNCTION("SPLIT(G2268, "", "")"),44462.0)</f>
        <v>44462</v>
      </c>
      <c r="I2268" s="15">
        <f>IFERROR(__xludf.DUMMYFUNCTION("""COMPUTED_VALUE"""),0.8355439814814815)</f>
        <v>0.8355439815</v>
      </c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  <c r="AA2268" s="9"/>
    </row>
    <row r="2269">
      <c r="A2269" s="12">
        <v>0.14</v>
      </c>
      <c r="B2269" s="12">
        <v>231.7</v>
      </c>
      <c r="C2269" s="12">
        <v>11.5</v>
      </c>
      <c r="D2269" s="12">
        <v>4.75</v>
      </c>
      <c r="E2269" s="12">
        <v>0.36</v>
      </c>
      <c r="F2269" s="12">
        <v>50.0</v>
      </c>
      <c r="G2269" s="13">
        <v>44462.835652291666</v>
      </c>
      <c r="H2269" s="14">
        <f>IFERROR(__xludf.DUMMYFUNCTION("SPLIT(G2269, "", "")"),44462.0)</f>
        <v>44462</v>
      </c>
      <c r="I2269" s="15">
        <f>IFERROR(__xludf.DUMMYFUNCTION("""COMPUTED_VALUE"""),0.8356481481481481)</f>
        <v>0.8356481481</v>
      </c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  <c r="AA2269" s="9"/>
    </row>
    <row r="2270">
      <c r="A2270" s="12">
        <v>0.14</v>
      </c>
      <c r="B2270" s="12">
        <v>231.6</v>
      </c>
      <c r="C2270" s="12">
        <v>11.4</v>
      </c>
      <c r="D2270" s="12">
        <v>4.75</v>
      </c>
      <c r="E2270" s="12">
        <v>0.36</v>
      </c>
      <c r="F2270" s="12">
        <v>50.0</v>
      </c>
      <c r="G2270" s="13">
        <v>44462.83575371528</v>
      </c>
      <c r="H2270" s="14">
        <f>IFERROR(__xludf.DUMMYFUNCTION("SPLIT(G2270, "", "")"),44462.0)</f>
        <v>44462</v>
      </c>
      <c r="I2270" s="15">
        <f>IFERROR(__xludf.DUMMYFUNCTION("""COMPUTED_VALUE"""),0.8357523148148148)</f>
        <v>0.8357523148</v>
      </c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</row>
    <row r="2271">
      <c r="A2271" s="12">
        <v>0.14</v>
      </c>
      <c r="B2271" s="12">
        <v>231.6</v>
      </c>
      <c r="C2271" s="12">
        <v>11.4</v>
      </c>
      <c r="D2271" s="12">
        <v>4.75</v>
      </c>
      <c r="E2271" s="12">
        <v>0.36</v>
      </c>
      <c r="F2271" s="12">
        <v>50.0</v>
      </c>
      <c r="G2271" s="13">
        <v>44462.835857777776</v>
      </c>
      <c r="H2271" s="14">
        <f>IFERROR(__xludf.DUMMYFUNCTION("SPLIT(G2271, "", "")"),44462.0)</f>
        <v>44462</v>
      </c>
      <c r="I2271" s="15">
        <f>IFERROR(__xludf.DUMMYFUNCTION("""COMPUTED_VALUE"""),0.8358564814814815)</f>
        <v>0.8358564815</v>
      </c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  <c r="AA2271" s="9"/>
    </row>
    <row r="2272">
      <c r="A2272" s="12">
        <v>0.14</v>
      </c>
      <c r="B2272" s="12">
        <v>231.5</v>
      </c>
      <c r="C2272" s="12">
        <v>11.4</v>
      </c>
      <c r="D2272" s="12">
        <v>4.75</v>
      </c>
      <c r="E2272" s="12">
        <v>0.36</v>
      </c>
      <c r="F2272" s="12">
        <v>50.0</v>
      </c>
      <c r="G2272" s="13">
        <v>44462.83596228009</v>
      </c>
      <c r="H2272" s="14">
        <f>IFERROR(__xludf.DUMMYFUNCTION("SPLIT(G2272, "", "")"),44462.0)</f>
        <v>44462</v>
      </c>
      <c r="I2272" s="15">
        <f>IFERROR(__xludf.DUMMYFUNCTION("""COMPUTED_VALUE"""),0.8359606481481482)</f>
        <v>0.8359606481</v>
      </c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  <c r="AA2272" s="9"/>
    </row>
    <row r="2273">
      <c r="A2273" s="12">
        <v>0.14</v>
      </c>
      <c r="B2273" s="12">
        <v>231.5</v>
      </c>
      <c r="C2273" s="12">
        <v>11.3</v>
      </c>
      <c r="D2273" s="12">
        <v>4.75</v>
      </c>
      <c r="E2273" s="12">
        <v>0.36</v>
      </c>
      <c r="F2273" s="12">
        <v>50.0</v>
      </c>
      <c r="G2273" s="13">
        <v>44462.836068958335</v>
      </c>
      <c r="H2273" s="14">
        <f>IFERROR(__xludf.DUMMYFUNCTION("SPLIT(G2273, "", "")"),44462.0)</f>
        <v>44462</v>
      </c>
      <c r="I2273" s="15">
        <f>IFERROR(__xludf.DUMMYFUNCTION("""COMPUTED_VALUE"""),0.8360648148148148)</f>
        <v>0.8360648148</v>
      </c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</row>
    <row r="2274">
      <c r="A2274" s="12">
        <v>0.14</v>
      </c>
      <c r="B2274" s="12">
        <v>231.3</v>
      </c>
      <c r="C2274" s="12">
        <v>11.2</v>
      </c>
      <c r="D2274" s="12">
        <v>4.75</v>
      </c>
      <c r="E2274" s="12">
        <v>0.36</v>
      </c>
      <c r="F2274" s="12">
        <v>50.0</v>
      </c>
      <c r="G2274" s="13">
        <v>44462.836170069444</v>
      </c>
      <c r="H2274" s="14">
        <f>IFERROR(__xludf.DUMMYFUNCTION("SPLIT(G2274, "", "")"),44462.0)</f>
        <v>44462</v>
      </c>
      <c r="I2274" s="15">
        <f>IFERROR(__xludf.DUMMYFUNCTION("""COMPUTED_VALUE"""),0.8361689814814814)</f>
        <v>0.8361689815</v>
      </c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  <c r="AA2274" s="9"/>
    </row>
    <row r="2275">
      <c r="A2275" s="12">
        <v>0.14</v>
      </c>
      <c r="B2275" s="12">
        <v>231.2</v>
      </c>
      <c r="C2275" s="12">
        <v>11.2</v>
      </c>
      <c r="D2275" s="12">
        <v>4.75</v>
      </c>
      <c r="E2275" s="12">
        <v>0.35</v>
      </c>
      <c r="F2275" s="12">
        <v>49.9</v>
      </c>
      <c r="G2275" s="13">
        <v>44462.83627349537</v>
      </c>
      <c r="H2275" s="14">
        <f>IFERROR(__xludf.DUMMYFUNCTION("SPLIT(G2275, "", "")"),44462.0)</f>
        <v>44462</v>
      </c>
      <c r="I2275" s="15">
        <f>IFERROR(__xludf.DUMMYFUNCTION("""COMPUTED_VALUE"""),0.8362731481481481)</f>
        <v>0.8362731481</v>
      </c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</row>
    <row r="2276">
      <c r="A2276" s="12">
        <v>0.14</v>
      </c>
      <c r="B2276" s="12">
        <v>230.8</v>
      </c>
      <c r="C2276" s="12">
        <v>11.1</v>
      </c>
      <c r="D2276" s="12">
        <v>4.75</v>
      </c>
      <c r="E2276" s="12">
        <v>0.36</v>
      </c>
      <c r="F2276" s="12">
        <v>50.0</v>
      </c>
      <c r="G2276" s="13">
        <v>44462.83637453704</v>
      </c>
      <c r="H2276" s="14">
        <f>IFERROR(__xludf.DUMMYFUNCTION("SPLIT(G2276, "", "")"),44462.0)</f>
        <v>44462</v>
      </c>
      <c r="I2276" s="15">
        <f>IFERROR(__xludf.DUMMYFUNCTION("""COMPUTED_VALUE"""),0.8363773148148148)</f>
        <v>0.8363773148</v>
      </c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  <c r="AA2276" s="9"/>
    </row>
    <row r="2277">
      <c r="A2277" s="12">
        <v>0.14</v>
      </c>
      <c r="B2277" s="12">
        <v>230.9</v>
      </c>
      <c r="C2277" s="12">
        <v>11.1</v>
      </c>
      <c r="D2277" s="12">
        <v>4.75</v>
      </c>
      <c r="E2277" s="12">
        <v>0.35</v>
      </c>
      <c r="F2277" s="12">
        <v>50.0</v>
      </c>
      <c r="G2277" s="13">
        <v>44462.836477372686</v>
      </c>
      <c r="H2277" s="14">
        <f>IFERROR(__xludf.DUMMYFUNCTION("SPLIT(G2277, "", "")"),44462.0)</f>
        <v>44462</v>
      </c>
      <c r="I2277" s="15">
        <f>IFERROR(__xludf.DUMMYFUNCTION("""COMPUTED_VALUE"""),0.8364814814814815)</f>
        <v>0.8364814815</v>
      </c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  <c r="AA2277" s="9"/>
    </row>
    <row r="2278">
      <c r="A2278" s="12">
        <v>0.14</v>
      </c>
      <c r="B2278" s="12">
        <v>230.9</v>
      </c>
      <c r="C2278" s="12">
        <v>11.1</v>
      </c>
      <c r="D2278" s="12">
        <v>4.75</v>
      </c>
      <c r="E2278" s="12">
        <v>0.35</v>
      </c>
      <c r="F2278" s="12">
        <v>50.0</v>
      </c>
      <c r="G2278" s="13">
        <v>44462.836583564815</v>
      </c>
      <c r="H2278" s="14">
        <f>IFERROR(__xludf.DUMMYFUNCTION("SPLIT(G2278, "", "")"),44462.0)</f>
        <v>44462</v>
      </c>
      <c r="I2278" s="15">
        <f>IFERROR(__xludf.DUMMYFUNCTION("""COMPUTED_VALUE"""),0.8365856481481482)</f>
        <v>0.8365856481</v>
      </c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</row>
    <row r="2279">
      <c r="A2279" s="12">
        <v>0.14</v>
      </c>
      <c r="B2279" s="12">
        <v>230.9</v>
      </c>
      <c r="C2279" s="12">
        <v>11.1</v>
      </c>
      <c r="D2279" s="12">
        <v>4.75</v>
      </c>
      <c r="E2279" s="12">
        <v>0.35</v>
      </c>
      <c r="F2279" s="12">
        <v>50.0</v>
      </c>
      <c r="G2279" s="13">
        <v>44462.836684270835</v>
      </c>
      <c r="H2279" s="14">
        <f>IFERROR(__xludf.DUMMYFUNCTION("SPLIT(G2279, "", "")"),44462.0)</f>
        <v>44462</v>
      </c>
      <c r="I2279" s="15">
        <f>IFERROR(__xludf.DUMMYFUNCTION("""COMPUTED_VALUE"""),0.8366898148148149)</f>
        <v>0.8366898148</v>
      </c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  <c r="AA2279" s="9"/>
    </row>
    <row r="2280">
      <c r="A2280" s="12">
        <v>0.14</v>
      </c>
      <c r="B2280" s="12">
        <v>231.0</v>
      </c>
      <c r="C2280" s="12">
        <v>11.1</v>
      </c>
      <c r="D2280" s="12">
        <v>4.75</v>
      </c>
      <c r="E2280" s="12">
        <v>0.36</v>
      </c>
      <c r="F2280" s="12">
        <v>50.0</v>
      </c>
      <c r="G2280" s="13">
        <v>44462.83678802083</v>
      </c>
      <c r="H2280" s="14">
        <f>IFERROR(__xludf.DUMMYFUNCTION("SPLIT(G2280, "", "")"),44462.0)</f>
        <v>44462</v>
      </c>
      <c r="I2280" s="15">
        <f>IFERROR(__xludf.DUMMYFUNCTION("""COMPUTED_VALUE"""),0.8367824074074074)</f>
        <v>0.8367824074</v>
      </c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  <c r="AA2280" s="9"/>
    </row>
    <row r="2281">
      <c r="A2281" s="12">
        <v>0.14</v>
      </c>
      <c r="B2281" s="12">
        <v>231.1</v>
      </c>
      <c r="C2281" s="12">
        <v>11.1</v>
      </c>
      <c r="D2281" s="12">
        <v>4.75</v>
      </c>
      <c r="E2281" s="12">
        <v>0.35</v>
      </c>
      <c r="F2281" s="12">
        <v>50.0</v>
      </c>
      <c r="G2281" s="13">
        <v>44462.836898368056</v>
      </c>
      <c r="H2281" s="14">
        <f>IFERROR(__xludf.DUMMYFUNCTION("SPLIT(G2281, "", "")"),44462.0)</f>
        <v>44462</v>
      </c>
      <c r="I2281" s="15">
        <f>IFERROR(__xludf.DUMMYFUNCTION("""COMPUTED_VALUE"""),0.8368981481481481)</f>
        <v>0.8368981481</v>
      </c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  <c r="AA2281" s="9"/>
    </row>
    <row r="2282">
      <c r="A2282" s="12">
        <v>0.14</v>
      </c>
      <c r="B2282" s="12">
        <v>231.1</v>
      </c>
      <c r="C2282" s="12">
        <v>11.1</v>
      </c>
      <c r="D2282" s="12">
        <v>4.75</v>
      </c>
      <c r="E2282" s="12">
        <v>0.35</v>
      </c>
      <c r="F2282" s="12">
        <v>50.0</v>
      </c>
      <c r="G2282" s="13">
        <v>44462.83700505787</v>
      </c>
      <c r="H2282" s="14">
        <f>IFERROR(__xludf.DUMMYFUNCTION("SPLIT(G2282, "", "")"),44462.0)</f>
        <v>44462</v>
      </c>
      <c r="I2282" s="15">
        <f>IFERROR(__xludf.DUMMYFUNCTION("""COMPUTED_VALUE"""),0.8370023148148148)</f>
        <v>0.8370023148</v>
      </c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  <c r="AA2282" s="9"/>
    </row>
    <row r="2283">
      <c r="A2283" s="12">
        <v>0.14</v>
      </c>
      <c r="B2283" s="12">
        <v>231.1</v>
      </c>
      <c r="C2283" s="12">
        <v>11.2</v>
      </c>
      <c r="D2283" s="12">
        <v>4.75</v>
      </c>
      <c r="E2283" s="12">
        <v>0.36</v>
      </c>
      <c r="F2283" s="12">
        <v>50.0</v>
      </c>
      <c r="G2283" s="13">
        <v>44462.83710641204</v>
      </c>
      <c r="H2283" s="14">
        <f>IFERROR(__xludf.DUMMYFUNCTION("SPLIT(G2283, "", "")"),44462.0)</f>
        <v>44462</v>
      </c>
      <c r="I2283" s="15">
        <f>IFERROR(__xludf.DUMMYFUNCTION("""COMPUTED_VALUE"""),0.8371064814814815)</f>
        <v>0.8371064815</v>
      </c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  <c r="AA2283" s="9"/>
    </row>
    <row r="2284">
      <c r="A2284" s="12">
        <v>0.14</v>
      </c>
      <c r="B2284" s="12">
        <v>231.1</v>
      </c>
      <c r="C2284" s="12">
        <v>11.1</v>
      </c>
      <c r="D2284" s="12">
        <v>4.75</v>
      </c>
      <c r="E2284" s="12">
        <v>0.36</v>
      </c>
      <c r="F2284" s="12">
        <v>50.0</v>
      </c>
      <c r="G2284" s="13">
        <v>44462.83721488426</v>
      </c>
      <c r="H2284" s="14">
        <f>IFERROR(__xludf.DUMMYFUNCTION("SPLIT(G2284, "", "")"),44462.0)</f>
        <v>44462</v>
      </c>
      <c r="I2284" s="15">
        <f>IFERROR(__xludf.DUMMYFUNCTION("""COMPUTED_VALUE"""),0.8372106481481482)</f>
        <v>0.8372106481</v>
      </c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  <c r="AA2284" s="9"/>
    </row>
    <row r="2285">
      <c r="A2285" s="12">
        <v>0.14</v>
      </c>
      <c r="B2285" s="12">
        <v>231.1</v>
      </c>
      <c r="C2285" s="12">
        <v>11.1</v>
      </c>
      <c r="D2285" s="12">
        <v>4.75</v>
      </c>
      <c r="E2285" s="12">
        <v>0.36</v>
      </c>
      <c r="F2285" s="12">
        <v>50.0</v>
      </c>
      <c r="G2285" s="13">
        <v>44462.83731658565</v>
      </c>
      <c r="H2285" s="14">
        <f>IFERROR(__xludf.DUMMYFUNCTION("SPLIT(G2285, "", "")"),44462.0)</f>
        <v>44462</v>
      </c>
      <c r="I2285" s="15">
        <f>IFERROR(__xludf.DUMMYFUNCTION("""COMPUTED_VALUE"""),0.8373148148148148)</f>
        <v>0.8373148148</v>
      </c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  <c r="AA2285" s="9"/>
    </row>
    <row r="2286">
      <c r="A2286" s="12">
        <v>0.14</v>
      </c>
      <c r="B2286" s="12">
        <v>231.3</v>
      </c>
      <c r="C2286" s="12">
        <v>11.2</v>
      </c>
      <c r="D2286" s="12">
        <v>4.75</v>
      </c>
      <c r="E2286" s="12">
        <v>0.36</v>
      </c>
      <c r="F2286" s="12">
        <v>50.0</v>
      </c>
      <c r="G2286" s="13">
        <v>44462.83741628472</v>
      </c>
      <c r="H2286" s="14">
        <f>IFERROR(__xludf.DUMMYFUNCTION("SPLIT(G2286, "", "")"),44462.0)</f>
        <v>44462</v>
      </c>
      <c r="I2286" s="15">
        <f>IFERROR(__xludf.DUMMYFUNCTION("""COMPUTED_VALUE"""),0.8374189814814815)</f>
        <v>0.8374189815</v>
      </c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  <c r="AA2286" s="9"/>
    </row>
    <row r="2287">
      <c r="A2287" s="12">
        <v>0.14</v>
      </c>
      <c r="B2287" s="12">
        <v>231.0</v>
      </c>
      <c r="C2287" s="12">
        <v>11.0</v>
      </c>
      <c r="D2287" s="12">
        <v>4.75</v>
      </c>
      <c r="E2287" s="12">
        <v>0.35</v>
      </c>
      <c r="F2287" s="12">
        <v>50.0</v>
      </c>
      <c r="G2287" s="13">
        <v>44462.83751762731</v>
      </c>
      <c r="H2287" s="14">
        <f>IFERROR(__xludf.DUMMYFUNCTION("SPLIT(G2287, "", "")"),44462.0)</f>
        <v>44462</v>
      </c>
      <c r="I2287" s="15">
        <f>IFERROR(__xludf.DUMMYFUNCTION("""COMPUTED_VALUE"""),0.8375231481481481)</f>
        <v>0.8375231481</v>
      </c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  <c r="AA2287" s="9"/>
    </row>
    <row r="2288">
      <c r="A2288" s="12">
        <v>0.14</v>
      </c>
      <c r="B2288" s="12">
        <v>231.0</v>
      </c>
      <c r="C2288" s="12">
        <v>11.1</v>
      </c>
      <c r="D2288" s="12">
        <v>4.75</v>
      </c>
      <c r="E2288" s="12">
        <v>0.36</v>
      </c>
      <c r="F2288" s="12">
        <v>50.0</v>
      </c>
      <c r="G2288" s="13">
        <v>44462.83763628472</v>
      </c>
      <c r="H2288" s="14">
        <f>IFERROR(__xludf.DUMMYFUNCTION("SPLIT(G2288, "", "")"),44462.0)</f>
        <v>44462</v>
      </c>
      <c r="I2288" s="15">
        <f>IFERROR(__xludf.DUMMYFUNCTION("""COMPUTED_VALUE"""),0.8376388888888889)</f>
        <v>0.8376388889</v>
      </c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  <c r="AA2288" s="9"/>
    </row>
    <row r="2289">
      <c r="A2289" s="12">
        <v>0.14</v>
      </c>
      <c r="B2289" s="12">
        <v>230.9</v>
      </c>
      <c r="C2289" s="12">
        <v>11.1</v>
      </c>
      <c r="D2289" s="12">
        <v>4.75</v>
      </c>
      <c r="E2289" s="12">
        <v>0.36</v>
      </c>
      <c r="F2289" s="12">
        <v>50.0</v>
      </c>
      <c r="G2289" s="13">
        <v>44462.83775091435</v>
      </c>
      <c r="H2289" s="14">
        <f>IFERROR(__xludf.DUMMYFUNCTION("SPLIT(G2289, "", "")"),44462.0)</f>
        <v>44462</v>
      </c>
      <c r="I2289" s="15">
        <f>IFERROR(__xludf.DUMMYFUNCTION("""COMPUTED_VALUE"""),0.8377546296296297)</f>
        <v>0.8377546296</v>
      </c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  <c r="AA2289" s="9"/>
    </row>
    <row r="2290">
      <c r="A2290" s="12">
        <v>0.13</v>
      </c>
      <c r="B2290" s="12">
        <v>229.9</v>
      </c>
      <c r="C2290" s="12">
        <v>10.5</v>
      </c>
      <c r="D2290" s="12">
        <v>4.75</v>
      </c>
      <c r="E2290" s="12">
        <v>0.35</v>
      </c>
      <c r="F2290" s="12">
        <v>50.0</v>
      </c>
      <c r="G2290" s="13">
        <v>44462.83785114583</v>
      </c>
      <c r="H2290" s="14">
        <f>IFERROR(__xludf.DUMMYFUNCTION("SPLIT(G2290, "", "")"),44462.0)</f>
        <v>44462</v>
      </c>
      <c r="I2290" s="15">
        <f>IFERROR(__xludf.DUMMYFUNCTION("""COMPUTED_VALUE"""),0.8378472222222222)</f>
        <v>0.8378472222</v>
      </c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  <c r="AA2290" s="9"/>
    </row>
    <row r="2291">
      <c r="A2291" s="12">
        <v>0.13</v>
      </c>
      <c r="B2291" s="12">
        <v>229.9</v>
      </c>
      <c r="C2291" s="12">
        <v>10.5</v>
      </c>
      <c r="D2291" s="12">
        <v>4.75</v>
      </c>
      <c r="E2291" s="12">
        <v>0.34</v>
      </c>
      <c r="F2291" s="12">
        <v>50.0</v>
      </c>
      <c r="G2291" s="13">
        <v>44462.83795149306</v>
      </c>
      <c r="H2291" s="14">
        <f>IFERROR(__xludf.DUMMYFUNCTION("SPLIT(G2291, "", "")"),44462.0)</f>
        <v>44462</v>
      </c>
      <c r="I2291" s="15">
        <f>IFERROR(__xludf.DUMMYFUNCTION("""COMPUTED_VALUE"""),0.8379513888888889)</f>
        <v>0.8379513889</v>
      </c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  <c r="AA2291" s="9"/>
    </row>
    <row r="2292">
      <c r="A2292" s="12">
        <v>0.13</v>
      </c>
      <c r="B2292" s="12">
        <v>230.1</v>
      </c>
      <c r="C2292" s="12">
        <v>10.7</v>
      </c>
      <c r="D2292" s="12">
        <v>4.75</v>
      </c>
      <c r="E2292" s="12">
        <v>0.35</v>
      </c>
      <c r="F2292" s="12">
        <v>49.9</v>
      </c>
      <c r="G2292" s="13">
        <v>44462.838078263885</v>
      </c>
      <c r="H2292" s="14">
        <f>IFERROR(__xludf.DUMMYFUNCTION("SPLIT(G2292, "", "")"),44462.0)</f>
        <v>44462</v>
      </c>
      <c r="I2292" s="15">
        <f>IFERROR(__xludf.DUMMYFUNCTION("""COMPUTED_VALUE"""),0.8380787037037037)</f>
        <v>0.8380787037</v>
      </c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  <c r="AA2292" s="9"/>
    </row>
    <row r="2293">
      <c r="A2293" s="12">
        <v>0.13</v>
      </c>
      <c r="B2293" s="12">
        <v>230.6</v>
      </c>
      <c r="C2293" s="12">
        <v>10.9</v>
      </c>
      <c r="D2293" s="12">
        <v>4.75</v>
      </c>
      <c r="E2293" s="12">
        <v>0.36</v>
      </c>
      <c r="F2293" s="12">
        <v>49.9</v>
      </c>
      <c r="G2293" s="13">
        <v>44462.838179375</v>
      </c>
      <c r="H2293" s="14">
        <f>IFERROR(__xludf.DUMMYFUNCTION("SPLIT(G2293, "", "")"),44462.0)</f>
        <v>44462</v>
      </c>
      <c r="I2293" s="15">
        <f>IFERROR(__xludf.DUMMYFUNCTION("""COMPUTED_VALUE"""),0.8381828703703704)</f>
        <v>0.8381828704</v>
      </c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  <c r="AA2293" s="9"/>
    </row>
    <row r="2294">
      <c r="A2294" s="12">
        <v>0.13</v>
      </c>
      <c r="B2294" s="12">
        <v>230.8</v>
      </c>
      <c r="C2294" s="12">
        <v>11.0</v>
      </c>
      <c r="D2294" s="12">
        <v>4.75</v>
      </c>
      <c r="E2294" s="12">
        <v>0.36</v>
      </c>
      <c r="F2294" s="12">
        <v>50.0</v>
      </c>
      <c r="G2294" s="13">
        <v>44462.83827947917</v>
      </c>
      <c r="H2294" s="14">
        <f>IFERROR(__xludf.DUMMYFUNCTION("SPLIT(G2294, "", "")"),44462.0)</f>
        <v>44462</v>
      </c>
      <c r="I2294" s="15">
        <f>IFERROR(__xludf.DUMMYFUNCTION("""COMPUTED_VALUE"""),0.838275462962963)</f>
        <v>0.838275463</v>
      </c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  <c r="AA2294" s="9"/>
    </row>
    <row r="2295">
      <c r="A2295" s="12">
        <v>0.13</v>
      </c>
      <c r="B2295" s="12">
        <v>230.9</v>
      </c>
      <c r="C2295" s="12">
        <v>11.0</v>
      </c>
      <c r="D2295" s="12">
        <v>4.75</v>
      </c>
      <c r="E2295" s="12">
        <v>0.36</v>
      </c>
      <c r="F2295" s="12">
        <v>50.0</v>
      </c>
      <c r="G2295" s="13">
        <v>44462.838380381945</v>
      </c>
      <c r="H2295" s="14">
        <f>IFERROR(__xludf.DUMMYFUNCTION("SPLIT(G2295, "", "")"),44462.0)</f>
        <v>44462</v>
      </c>
      <c r="I2295" s="15">
        <f>IFERROR(__xludf.DUMMYFUNCTION("""COMPUTED_VALUE"""),0.8383796296296296)</f>
        <v>0.8383796296</v>
      </c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  <c r="AA2295" s="9"/>
    </row>
    <row r="2296">
      <c r="A2296" s="12">
        <v>0.14</v>
      </c>
      <c r="B2296" s="12">
        <v>230.9</v>
      </c>
      <c r="C2296" s="12">
        <v>10.9</v>
      </c>
      <c r="D2296" s="12">
        <v>4.75</v>
      </c>
      <c r="E2296" s="12">
        <v>0.35</v>
      </c>
      <c r="F2296" s="12">
        <v>50.0</v>
      </c>
      <c r="G2296" s="13">
        <v>44462.838485879634</v>
      </c>
      <c r="H2296" s="14">
        <f>IFERROR(__xludf.DUMMYFUNCTION("SPLIT(G2296, "", "")"),44462.0)</f>
        <v>44462</v>
      </c>
      <c r="I2296" s="15">
        <f>IFERROR(__xludf.DUMMYFUNCTION("""COMPUTED_VALUE"""),0.8384837962962963)</f>
        <v>0.8384837963</v>
      </c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  <c r="AA2296" s="9"/>
    </row>
    <row r="2297">
      <c r="A2297" s="12">
        <v>0.13</v>
      </c>
      <c r="B2297" s="12">
        <v>231.1</v>
      </c>
      <c r="C2297" s="12">
        <v>10.9</v>
      </c>
      <c r="D2297" s="12">
        <v>4.75</v>
      </c>
      <c r="E2297" s="12">
        <v>0.35</v>
      </c>
      <c r="F2297" s="12">
        <v>50.0</v>
      </c>
      <c r="G2297" s="13">
        <v>44462.83859491898</v>
      </c>
      <c r="H2297" s="14">
        <f>IFERROR(__xludf.DUMMYFUNCTION("SPLIT(G2297, "", "")"),44462.0)</f>
        <v>44462</v>
      </c>
      <c r="I2297" s="15">
        <f>IFERROR(__xludf.DUMMYFUNCTION("""COMPUTED_VALUE"""),0.838599537037037)</f>
        <v>0.838599537</v>
      </c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  <c r="AA2297" s="9"/>
    </row>
    <row r="2298">
      <c r="A2298" s="12">
        <v>0.13</v>
      </c>
      <c r="B2298" s="12">
        <v>231.1</v>
      </c>
      <c r="C2298" s="12">
        <v>11.0</v>
      </c>
      <c r="D2298" s="12">
        <v>4.75</v>
      </c>
      <c r="E2298" s="12">
        <v>0.36</v>
      </c>
      <c r="F2298" s="12">
        <v>50.0</v>
      </c>
      <c r="G2298" s="13">
        <v>44462.838701747685</v>
      </c>
      <c r="H2298" s="14">
        <f>IFERROR(__xludf.DUMMYFUNCTION("SPLIT(G2298, "", "")"),44462.0)</f>
        <v>44462</v>
      </c>
      <c r="I2298" s="15">
        <f>IFERROR(__xludf.DUMMYFUNCTION("""COMPUTED_VALUE"""),0.8387037037037037)</f>
        <v>0.8387037037</v>
      </c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  <c r="AA2298" s="9"/>
    </row>
    <row r="2299">
      <c r="A2299" s="12">
        <v>0.13</v>
      </c>
      <c r="B2299" s="12">
        <v>231.0</v>
      </c>
      <c r="C2299" s="12">
        <v>10.9</v>
      </c>
      <c r="D2299" s="12">
        <v>4.75</v>
      </c>
      <c r="E2299" s="12">
        <v>0.35</v>
      </c>
      <c r="F2299" s="12">
        <v>50.0</v>
      </c>
      <c r="G2299" s="13">
        <v>44462.83880149305</v>
      </c>
      <c r="H2299" s="14">
        <f>IFERROR(__xludf.DUMMYFUNCTION("SPLIT(G2299, "", "")"),44462.0)</f>
        <v>44462</v>
      </c>
      <c r="I2299" s="15">
        <f>IFERROR(__xludf.DUMMYFUNCTION("""COMPUTED_VALUE"""),0.8387962962962963)</f>
        <v>0.8387962963</v>
      </c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  <c r="AA2299" s="9"/>
    </row>
    <row r="2300">
      <c r="A2300" s="12">
        <v>0.13</v>
      </c>
      <c r="B2300" s="12">
        <v>231.0</v>
      </c>
      <c r="C2300" s="12">
        <v>10.9</v>
      </c>
      <c r="D2300" s="12">
        <v>4.75</v>
      </c>
      <c r="E2300" s="12">
        <v>0.35</v>
      </c>
      <c r="F2300" s="12">
        <v>50.0</v>
      </c>
      <c r="G2300" s="13">
        <v>44462.83890690972</v>
      </c>
      <c r="H2300" s="14">
        <f>IFERROR(__xludf.DUMMYFUNCTION("SPLIT(G2300, "", "")"),44462.0)</f>
        <v>44462</v>
      </c>
      <c r="I2300" s="15">
        <f>IFERROR(__xludf.DUMMYFUNCTION("""COMPUTED_VALUE"""),0.838912037037037)</f>
        <v>0.838912037</v>
      </c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  <c r="AA2300" s="9"/>
    </row>
    <row r="2301">
      <c r="A2301" s="12">
        <v>0.13</v>
      </c>
      <c r="B2301" s="12">
        <v>230.6</v>
      </c>
      <c r="C2301" s="12">
        <v>10.8</v>
      </c>
      <c r="D2301" s="12">
        <v>4.75</v>
      </c>
      <c r="E2301" s="12">
        <v>0.35</v>
      </c>
      <c r="F2301" s="12">
        <v>50.0</v>
      </c>
      <c r="G2301" s="13">
        <v>44462.83903924769</v>
      </c>
      <c r="H2301" s="14">
        <f>IFERROR(__xludf.DUMMYFUNCTION("SPLIT(G2301, "", "")"),44462.0)</f>
        <v>44462</v>
      </c>
      <c r="I2301" s="15">
        <f>IFERROR(__xludf.DUMMYFUNCTION("""COMPUTED_VALUE"""),0.8390393518518519)</f>
        <v>0.8390393519</v>
      </c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  <c r="AA2301" s="9"/>
    </row>
    <row r="2302">
      <c r="A2302" s="12">
        <v>0.13</v>
      </c>
      <c r="B2302" s="12">
        <v>230.8</v>
      </c>
      <c r="C2302" s="12">
        <v>10.8</v>
      </c>
      <c r="D2302" s="12">
        <v>4.75</v>
      </c>
      <c r="E2302" s="12">
        <v>0.35</v>
      </c>
      <c r="F2302" s="12">
        <v>50.0</v>
      </c>
      <c r="G2302" s="13">
        <v>44462.83914488426</v>
      </c>
      <c r="H2302" s="14">
        <f>IFERROR(__xludf.DUMMYFUNCTION("SPLIT(G2302, "", "")"),44462.0)</f>
        <v>44462</v>
      </c>
      <c r="I2302" s="15">
        <f>IFERROR(__xludf.DUMMYFUNCTION("""COMPUTED_VALUE"""),0.8391435185185185)</f>
        <v>0.8391435185</v>
      </c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  <c r="AA2302" s="9"/>
    </row>
    <row r="2303">
      <c r="A2303" s="12">
        <v>0.13</v>
      </c>
      <c r="B2303" s="12">
        <v>230.8</v>
      </c>
      <c r="C2303" s="12">
        <v>10.9</v>
      </c>
      <c r="D2303" s="12">
        <v>4.75</v>
      </c>
      <c r="E2303" s="12">
        <v>0.35</v>
      </c>
      <c r="F2303" s="12">
        <v>50.0</v>
      </c>
      <c r="G2303" s="13">
        <v>44462.839253136575</v>
      </c>
      <c r="H2303" s="14">
        <f>IFERROR(__xludf.DUMMYFUNCTION("SPLIT(G2303, "", "")"),44462.0)</f>
        <v>44462</v>
      </c>
      <c r="I2303" s="15">
        <f>IFERROR(__xludf.DUMMYFUNCTION("""COMPUTED_VALUE"""),0.8392476851851852)</f>
        <v>0.8392476852</v>
      </c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  <c r="AA2303" s="9"/>
    </row>
    <row r="2304">
      <c r="A2304" s="12">
        <v>0.13</v>
      </c>
      <c r="B2304" s="12">
        <v>230.8</v>
      </c>
      <c r="C2304" s="12">
        <v>10.8</v>
      </c>
      <c r="D2304" s="12">
        <v>4.75</v>
      </c>
      <c r="E2304" s="12">
        <v>0.35</v>
      </c>
      <c r="F2304" s="12">
        <v>50.0</v>
      </c>
      <c r="G2304" s="13">
        <v>44462.83936168981</v>
      </c>
      <c r="H2304" s="14">
        <f>IFERROR(__xludf.DUMMYFUNCTION("SPLIT(G2304, "", "")"),44462.0)</f>
        <v>44462</v>
      </c>
      <c r="I2304" s="15">
        <f>IFERROR(__xludf.DUMMYFUNCTION("""COMPUTED_VALUE"""),0.8393634259259259)</f>
        <v>0.8393634259</v>
      </c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  <c r="AA2304" s="9"/>
    </row>
    <row r="2305">
      <c r="A2305" s="12">
        <v>0.13</v>
      </c>
      <c r="B2305" s="12">
        <v>230.7</v>
      </c>
      <c r="C2305" s="12">
        <v>10.8</v>
      </c>
      <c r="D2305" s="12">
        <v>4.75</v>
      </c>
      <c r="E2305" s="12">
        <v>0.35</v>
      </c>
      <c r="F2305" s="12">
        <v>50.0</v>
      </c>
      <c r="G2305" s="13">
        <v>44462.83947805555</v>
      </c>
      <c r="H2305" s="14">
        <f>IFERROR(__xludf.DUMMYFUNCTION("SPLIT(G2305, "", "")"),44462.0)</f>
        <v>44462</v>
      </c>
      <c r="I2305" s="15">
        <f>IFERROR(__xludf.DUMMYFUNCTION("""COMPUTED_VALUE"""),0.8394791666666667)</f>
        <v>0.8394791667</v>
      </c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  <c r="AA2305" s="9"/>
    </row>
    <row r="2306">
      <c r="A2306" s="12">
        <v>0.13</v>
      </c>
      <c r="B2306" s="12">
        <v>230.9</v>
      </c>
      <c r="C2306" s="12">
        <v>10.9</v>
      </c>
      <c r="D2306" s="12">
        <v>4.75</v>
      </c>
      <c r="E2306" s="12">
        <v>0.35</v>
      </c>
      <c r="F2306" s="12">
        <v>50.0</v>
      </c>
      <c r="G2306" s="13">
        <v>44462.83958813657</v>
      </c>
      <c r="H2306" s="14">
        <f>IFERROR(__xludf.DUMMYFUNCTION("SPLIT(G2306, "", "")"),44462.0)</f>
        <v>44462</v>
      </c>
      <c r="I2306" s="15">
        <f>IFERROR(__xludf.DUMMYFUNCTION("""COMPUTED_VALUE"""),0.8395833333333333)</f>
        <v>0.8395833333</v>
      </c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  <c r="AA2306" s="9"/>
    </row>
    <row r="2307">
      <c r="A2307" s="12">
        <v>0.13</v>
      </c>
      <c r="B2307" s="12">
        <v>230.8</v>
      </c>
      <c r="C2307" s="12">
        <v>10.8</v>
      </c>
      <c r="D2307" s="12">
        <v>4.75</v>
      </c>
      <c r="E2307" s="12">
        <v>0.35</v>
      </c>
      <c r="F2307" s="12">
        <v>50.0</v>
      </c>
      <c r="G2307" s="13">
        <v>44462.839693877315</v>
      </c>
      <c r="H2307" s="14">
        <f>IFERROR(__xludf.DUMMYFUNCTION("SPLIT(G2307, "", "")"),44462.0)</f>
        <v>44462</v>
      </c>
      <c r="I2307" s="15">
        <f>IFERROR(__xludf.DUMMYFUNCTION("""COMPUTED_VALUE"""),0.8396990740740741)</f>
        <v>0.8396990741</v>
      </c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  <c r="AA2307" s="9"/>
    </row>
    <row r="2308">
      <c r="A2308" s="12">
        <v>0.13</v>
      </c>
      <c r="B2308" s="12">
        <v>231.0</v>
      </c>
      <c r="C2308" s="12">
        <v>10.9</v>
      </c>
      <c r="D2308" s="12">
        <v>4.75</v>
      </c>
      <c r="E2308" s="12">
        <v>0.35</v>
      </c>
      <c r="F2308" s="12">
        <v>50.0</v>
      </c>
      <c r="G2308" s="13">
        <v>44462.83980177084</v>
      </c>
      <c r="H2308" s="14">
        <f>IFERROR(__xludf.DUMMYFUNCTION("SPLIT(G2308, "", "")"),44462.0)</f>
        <v>44462</v>
      </c>
      <c r="I2308" s="15">
        <f>IFERROR(__xludf.DUMMYFUNCTION("""COMPUTED_VALUE"""),0.8398032407407408)</f>
        <v>0.8398032407</v>
      </c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  <c r="AA2308" s="9"/>
    </row>
    <row r="2309">
      <c r="A2309" s="12">
        <v>0.13</v>
      </c>
      <c r="B2309" s="12">
        <v>231.0</v>
      </c>
      <c r="C2309" s="12">
        <v>10.9</v>
      </c>
      <c r="D2309" s="12">
        <v>4.75</v>
      </c>
      <c r="E2309" s="12">
        <v>0.35</v>
      </c>
      <c r="F2309" s="12">
        <v>50.0</v>
      </c>
      <c r="G2309" s="13">
        <v>44462.83991445602</v>
      </c>
      <c r="H2309" s="14">
        <f>IFERROR(__xludf.DUMMYFUNCTION("SPLIT(G2309, "", "")"),44462.0)</f>
        <v>44462</v>
      </c>
      <c r="I2309" s="15">
        <f>IFERROR(__xludf.DUMMYFUNCTION("""COMPUTED_VALUE"""),0.8399189814814815)</f>
        <v>0.8399189815</v>
      </c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  <c r="AA2309" s="9"/>
    </row>
    <row r="2310">
      <c r="A2310" s="12">
        <v>0.13</v>
      </c>
      <c r="B2310" s="12">
        <v>231.0</v>
      </c>
      <c r="C2310" s="12">
        <v>10.8</v>
      </c>
      <c r="D2310" s="12">
        <v>4.75</v>
      </c>
      <c r="E2310" s="12">
        <v>0.35</v>
      </c>
      <c r="F2310" s="12">
        <v>50.0</v>
      </c>
      <c r="G2310" s="13">
        <v>44462.84001826389</v>
      </c>
      <c r="H2310" s="14">
        <f>IFERROR(__xludf.DUMMYFUNCTION("SPLIT(G2310, "", "")"),44462.0)</f>
        <v>44462</v>
      </c>
      <c r="I2310" s="15">
        <f>IFERROR(__xludf.DUMMYFUNCTION("""COMPUTED_VALUE"""),0.8400231481481482)</f>
        <v>0.8400231481</v>
      </c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  <c r="AA2310" s="9"/>
    </row>
    <row r="2311">
      <c r="A2311" s="12">
        <v>0.13</v>
      </c>
      <c r="B2311" s="12">
        <v>231.0</v>
      </c>
      <c r="C2311" s="12">
        <v>10.9</v>
      </c>
      <c r="D2311" s="12">
        <v>4.75</v>
      </c>
      <c r="E2311" s="12">
        <v>0.35</v>
      </c>
      <c r="F2311" s="12">
        <v>50.0</v>
      </c>
      <c r="G2311" s="13">
        <v>44462.84012030093</v>
      </c>
      <c r="H2311" s="14">
        <f>IFERROR(__xludf.DUMMYFUNCTION("SPLIT(G2311, "", "")"),44462.0)</f>
        <v>44462</v>
      </c>
      <c r="I2311" s="15">
        <f>IFERROR(__xludf.DUMMYFUNCTION("""COMPUTED_VALUE"""),0.8401157407407407)</f>
        <v>0.8401157407</v>
      </c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/>
    </row>
    <row r="2312">
      <c r="A2312" s="12">
        <v>0.13</v>
      </c>
      <c r="B2312" s="12">
        <v>230.9</v>
      </c>
      <c r="C2312" s="12">
        <v>10.8</v>
      </c>
      <c r="D2312" s="12">
        <v>4.75</v>
      </c>
      <c r="E2312" s="12">
        <v>0.35</v>
      </c>
      <c r="F2312" s="12">
        <v>50.0</v>
      </c>
      <c r="G2312" s="13">
        <v>44462.84022143518</v>
      </c>
      <c r="H2312" s="14">
        <f>IFERROR(__xludf.DUMMYFUNCTION("SPLIT(G2312, "", "")"),44462.0)</f>
        <v>44462</v>
      </c>
      <c r="I2312" s="15">
        <f>IFERROR(__xludf.DUMMYFUNCTION("""COMPUTED_VALUE"""),0.8402199074074074)</f>
        <v>0.8402199074</v>
      </c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  <c r="AA2312" s="9"/>
    </row>
    <row r="2313">
      <c r="A2313" s="12">
        <v>0.13</v>
      </c>
      <c r="B2313" s="12">
        <v>231.6</v>
      </c>
      <c r="C2313" s="12">
        <v>11.0</v>
      </c>
      <c r="D2313" s="12">
        <v>4.75</v>
      </c>
      <c r="E2313" s="12">
        <v>0.36</v>
      </c>
      <c r="F2313" s="12">
        <v>50.0</v>
      </c>
      <c r="G2313" s="13">
        <v>44462.840323321754</v>
      </c>
      <c r="H2313" s="14">
        <f>IFERROR(__xludf.DUMMYFUNCTION("SPLIT(G2313, "", "")"),44462.0)</f>
        <v>44462</v>
      </c>
      <c r="I2313" s="15">
        <f>IFERROR(__xludf.DUMMYFUNCTION("""COMPUTED_VALUE"""),0.8403240740740741)</f>
        <v>0.8403240741</v>
      </c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</row>
    <row r="2314">
      <c r="A2314" s="12">
        <v>0.13</v>
      </c>
      <c r="B2314" s="12">
        <v>231.6</v>
      </c>
      <c r="C2314" s="12">
        <v>10.9</v>
      </c>
      <c r="D2314" s="12">
        <v>4.75</v>
      </c>
      <c r="E2314" s="12">
        <v>0.36</v>
      </c>
      <c r="F2314" s="12">
        <v>50.0</v>
      </c>
      <c r="G2314" s="13">
        <v>44462.840429131946</v>
      </c>
      <c r="H2314" s="14">
        <f>IFERROR(__xludf.DUMMYFUNCTION("SPLIT(G2314, "", "")"),44462.0)</f>
        <v>44462</v>
      </c>
      <c r="I2314" s="15">
        <f>IFERROR(__xludf.DUMMYFUNCTION("""COMPUTED_VALUE"""),0.8404282407407407)</f>
        <v>0.8404282407</v>
      </c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  <c r="AA2314" s="9"/>
    </row>
    <row r="2315">
      <c r="A2315" s="12">
        <v>0.13</v>
      </c>
      <c r="B2315" s="12">
        <v>231.6</v>
      </c>
      <c r="C2315" s="12">
        <v>10.9</v>
      </c>
      <c r="D2315" s="12">
        <v>4.75</v>
      </c>
      <c r="E2315" s="12">
        <v>0.36</v>
      </c>
      <c r="F2315" s="12">
        <v>50.0</v>
      </c>
      <c r="G2315" s="13">
        <v>44462.840560578705</v>
      </c>
      <c r="H2315" s="14">
        <f>IFERROR(__xludf.DUMMYFUNCTION("SPLIT(G2315, "", "")"),44462.0)</f>
        <v>44462</v>
      </c>
      <c r="I2315" s="15">
        <f>IFERROR(__xludf.DUMMYFUNCTION("""COMPUTED_VALUE"""),0.8405555555555555)</f>
        <v>0.8405555556</v>
      </c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  <c r="AA2315" s="9"/>
    </row>
    <row r="2316">
      <c r="A2316" s="12">
        <v>0.13</v>
      </c>
      <c r="B2316" s="12">
        <v>231.6</v>
      </c>
      <c r="C2316" s="12">
        <v>11.0</v>
      </c>
      <c r="D2316" s="12">
        <v>4.75</v>
      </c>
      <c r="E2316" s="12">
        <v>0.36</v>
      </c>
      <c r="F2316" s="12">
        <v>50.0</v>
      </c>
      <c r="G2316" s="13">
        <v>44462.84066277777</v>
      </c>
      <c r="H2316" s="14">
        <f>IFERROR(__xludf.DUMMYFUNCTION("SPLIT(G2316, "", "")"),44462.0)</f>
        <v>44462</v>
      </c>
      <c r="I2316" s="15">
        <f>IFERROR(__xludf.DUMMYFUNCTION("""COMPUTED_VALUE"""),0.8406597222222222)</f>
        <v>0.8406597222</v>
      </c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  <c r="AA2316" s="9"/>
    </row>
    <row r="2317">
      <c r="A2317" s="12">
        <v>0.13</v>
      </c>
      <c r="B2317" s="12">
        <v>231.7</v>
      </c>
      <c r="C2317" s="12">
        <v>11.0</v>
      </c>
      <c r="D2317" s="12">
        <v>4.75</v>
      </c>
      <c r="E2317" s="12">
        <v>0.36</v>
      </c>
      <c r="F2317" s="12">
        <v>50.0</v>
      </c>
      <c r="G2317" s="13">
        <v>44462.84076899306</v>
      </c>
      <c r="H2317" s="14">
        <f>IFERROR(__xludf.DUMMYFUNCTION("SPLIT(G2317, "", "")"),44462.0)</f>
        <v>44462</v>
      </c>
      <c r="I2317" s="15">
        <f>IFERROR(__xludf.DUMMYFUNCTION("""COMPUTED_VALUE"""),0.8407638888888889)</f>
        <v>0.8407638889</v>
      </c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</row>
    <row r="2318">
      <c r="A2318" s="12">
        <v>0.13</v>
      </c>
      <c r="B2318" s="12">
        <v>231.6</v>
      </c>
      <c r="C2318" s="12">
        <v>10.9</v>
      </c>
      <c r="D2318" s="12">
        <v>4.75</v>
      </c>
      <c r="E2318" s="12">
        <v>0.35</v>
      </c>
      <c r="F2318" s="12">
        <v>50.0</v>
      </c>
      <c r="G2318" s="13">
        <v>44462.840877731476</v>
      </c>
      <c r="H2318" s="14">
        <f>IFERROR(__xludf.DUMMYFUNCTION("SPLIT(G2318, "", "")"),44462.0)</f>
        <v>44462</v>
      </c>
      <c r="I2318" s="15">
        <f>IFERROR(__xludf.DUMMYFUNCTION("""COMPUTED_VALUE"""),0.8408796296296296)</f>
        <v>0.8408796296</v>
      </c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  <c r="AA2318" s="9"/>
    </row>
    <row r="2319">
      <c r="A2319" s="12">
        <v>0.13</v>
      </c>
      <c r="B2319" s="12">
        <v>231.6</v>
      </c>
      <c r="C2319" s="12">
        <v>10.9</v>
      </c>
      <c r="D2319" s="12">
        <v>4.75</v>
      </c>
      <c r="E2319" s="12">
        <v>0.36</v>
      </c>
      <c r="F2319" s="12">
        <v>50.0</v>
      </c>
      <c r="G2319" s="13">
        <v>44462.840979768516</v>
      </c>
      <c r="H2319" s="14">
        <f>IFERROR(__xludf.DUMMYFUNCTION("SPLIT(G2319, "", "")"),44462.0)</f>
        <v>44462</v>
      </c>
      <c r="I2319" s="15">
        <f>IFERROR(__xludf.DUMMYFUNCTION("""COMPUTED_VALUE"""),0.8409837962962963)</f>
        <v>0.8409837963</v>
      </c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  <c r="AA2319" s="9"/>
    </row>
    <row r="2320">
      <c r="A2320" s="12">
        <v>0.13</v>
      </c>
      <c r="B2320" s="12">
        <v>231.6</v>
      </c>
      <c r="C2320" s="12">
        <v>10.9</v>
      </c>
      <c r="D2320" s="12">
        <v>4.75</v>
      </c>
      <c r="E2320" s="12">
        <v>0.35</v>
      </c>
      <c r="F2320" s="12">
        <v>50.0</v>
      </c>
      <c r="G2320" s="13">
        <v>44462.841082060186</v>
      </c>
      <c r="H2320" s="14">
        <f>IFERROR(__xludf.DUMMYFUNCTION("SPLIT(G2320, "", "")"),44462.0)</f>
        <v>44462</v>
      </c>
      <c r="I2320" s="15">
        <f>IFERROR(__xludf.DUMMYFUNCTION("""COMPUTED_VALUE"""),0.8410763888888889)</f>
        <v>0.8410763889</v>
      </c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  <c r="AA2320" s="9"/>
    </row>
    <row r="2321">
      <c r="A2321" s="12">
        <v>0.13</v>
      </c>
      <c r="B2321" s="12">
        <v>231.5</v>
      </c>
      <c r="C2321" s="12">
        <v>10.8</v>
      </c>
      <c r="D2321" s="12">
        <v>4.75</v>
      </c>
      <c r="E2321" s="12">
        <v>0.35</v>
      </c>
      <c r="F2321" s="12">
        <v>50.0</v>
      </c>
      <c r="G2321" s="13">
        <v>44462.841184756944</v>
      </c>
      <c r="H2321" s="14">
        <f>IFERROR(__xludf.DUMMYFUNCTION("SPLIT(G2321, "", "")"),44462.0)</f>
        <v>44462</v>
      </c>
      <c r="I2321" s="15">
        <f>IFERROR(__xludf.DUMMYFUNCTION("""COMPUTED_VALUE"""),0.8411805555555556)</f>
        <v>0.8411805556</v>
      </c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  <c r="AA2321" s="9"/>
    </row>
    <row r="2322">
      <c r="A2322" s="12">
        <v>0.13</v>
      </c>
      <c r="B2322" s="12">
        <v>231.6</v>
      </c>
      <c r="C2322" s="12">
        <v>10.8</v>
      </c>
      <c r="D2322" s="12">
        <v>4.75</v>
      </c>
      <c r="E2322" s="12">
        <v>0.35</v>
      </c>
      <c r="F2322" s="12">
        <v>50.0</v>
      </c>
      <c r="G2322" s="13">
        <v>44462.84128555555</v>
      </c>
      <c r="H2322" s="14">
        <f>IFERROR(__xludf.DUMMYFUNCTION("SPLIT(G2322, "", "")"),44462.0)</f>
        <v>44462</v>
      </c>
      <c r="I2322" s="15">
        <f>IFERROR(__xludf.DUMMYFUNCTION("""COMPUTED_VALUE"""),0.8412847222222222)</f>
        <v>0.8412847222</v>
      </c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  <c r="AA2322" s="9"/>
    </row>
    <row r="2323">
      <c r="A2323" s="12">
        <v>0.13</v>
      </c>
      <c r="B2323" s="12">
        <v>231.2</v>
      </c>
      <c r="C2323" s="12">
        <v>10.8</v>
      </c>
      <c r="D2323" s="12">
        <v>4.75</v>
      </c>
      <c r="E2323" s="12">
        <v>0.36</v>
      </c>
      <c r="F2323" s="12">
        <v>50.0</v>
      </c>
      <c r="G2323" s="13">
        <v>44462.841386423606</v>
      </c>
      <c r="H2323" s="14">
        <f>IFERROR(__xludf.DUMMYFUNCTION("SPLIT(G2323, "", "")"),44462.0)</f>
        <v>44462</v>
      </c>
      <c r="I2323" s="15">
        <f>IFERROR(__xludf.DUMMYFUNCTION("""COMPUTED_VALUE"""),0.8413888888888889)</f>
        <v>0.8413888889</v>
      </c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  <c r="AA2323" s="9"/>
    </row>
    <row r="2324">
      <c r="A2324" s="12">
        <v>0.13</v>
      </c>
      <c r="B2324" s="12">
        <v>231.2</v>
      </c>
      <c r="C2324" s="12">
        <v>10.7</v>
      </c>
      <c r="D2324" s="12">
        <v>4.75</v>
      </c>
      <c r="E2324" s="12">
        <v>0.35</v>
      </c>
      <c r="F2324" s="12">
        <v>50.0</v>
      </c>
      <c r="G2324" s="13">
        <v>44462.84149172454</v>
      </c>
      <c r="H2324" s="14">
        <f>IFERROR(__xludf.DUMMYFUNCTION("SPLIT(G2324, "", "")"),44462.0)</f>
        <v>44462</v>
      </c>
      <c r="I2324" s="15">
        <f>IFERROR(__xludf.DUMMYFUNCTION("""COMPUTED_VALUE"""),0.8414930555555555)</f>
        <v>0.8414930556</v>
      </c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  <c r="AA2324" s="9"/>
    </row>
    <row r="2325">
      <c r="A2325" s="12">
        <v>0.13</v>
      </c>
      <c r="B2325" s="12">
        <v>231.2</v>
      </c>
      <c r="C2325" s="12">
        <v>10.8</v>
      </c>
      <c r="D2325" s="12">
        <v>4.75</v>
      </c>
      <c r="E2325" s="12">
        <v>0.35</v>
      </c>
      <c r="F2325" s="12">
        <v>50.0</v>
      </c>
      <c r="G2325" s="13">
        <v>44462.84159105324</v>
      </c>
      <c r="H2325" s="14">
        <f>IFERROR(__xludf.DUMMYFUNCTION("SPLIT(G2325, "", "")"),44462.0)</f>
        <v>44462</v>
      </c>
      <c r="I2325" s="15">
        <f>IFERROR(__xludf.DUMMYFUNCTION("""COMPUTED_VALUE"""),0.8415856481481482)</f>
        <v>0.8415856481</v>
      </c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  <c r="AA2325" s="9"/>
    </row>
    <row r="2326">
      <c r="A2326" s="12">
        <v>0.13</v>
      </c>
      <c r="B2326" s="12">
        <v>231.2</v>
      </c>
      <c r="C2326" s="12">
        <v>10.8</v>
      </c>
      <c r="D2326" s="12">
        <v>4.75</v>
      </c>
      <c r="E2326" s="12">
        <v>0.35</v>
      </c>
      <c r="F2326" s="12">
        <v>49.9</v>
      </c>
      <c r="G2326" s="13">
        <v>44462.841693229166</v>
      </c>
      <c r="H2326" s="14">
        <f>IFERROR(__xludf.DUMMYFUNCTION("SPLIT(G2326, "", "")"),44462.0)</f>
        <v>44462</v>
      </c>
      <c r="I2326" s="15">
        <f>IFERROR(__xludf.DUMMYFUNCTION("""COMPUTED_VALUE"""),0.8416898148148149)</f>
        <v>0.8416898148</v>
      </c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</row>
    <row r="2327">
      <c r="A2327" s="12">
        <v>0.13</v>
      </c>
      <c r="B2327" s="12">
        <v>231.3</v>
      </c>
      <c r="C2327" s="12">
        <v>10.8</v>
      </c>
      <c r="D2327" s="12">
        <v>4.75</v>
      </c>
      <c r="E2327" s="12">
        <v>0.36</v>
      </c>
      <c r="F2327" s="12">
        <v>49.9</v>
      </c>
      <c r="G2327" s="13">
        <v>44462.84179673612</v>
      </c>
      <c r="H2327" s="14">
        <f>IFERROR(__xludf.DUMMYFUNCTION("SPLIT(G2327, "", "")"),44462.0)</f>
        <v>44462</v>
      </c>
      <c r="I2327" s="15">
        <f>IFERROR(__xludf.DUMMYFUNCTION("""COMPUTED_VALUE"""),0.8417939814814814)</f>
        <v>0.8417939815</v>
      </c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  <c r="AA2327" s="9"/>
    </row>
    <row r="2328">
      <c r="A2328" s="12">
        <v>0.13</v>
      </c>
      <c r="B2328" s="12">
        <v>231.3</v>
      </c>
      <c r="C2328" s="12">
        <v>10.8</v>
      </c>
      <c r="D2328" s="12">
        <v>4.75</v>
      </c>
      <c r="E2328" s="12">
        <v>0.36</v>
      </c>
      <c r="F2328" s="12">
        <v>50.0</v>
      </c>
      <c r="G2328" s="13">
        <v>44462.841902581014</v>
      </c>
      <c r="H2328" s="14">
        <f>IFERROR(__xludf.DUMMYFUNCTION("SPLIT(G2328, "", "")"),44462.0)</f>
        <v>44462</v>
      </c>
      <c r="I2328" s="15">
        <f>IFERROR(__xludf.DUMMYFUNCTION("""COMPUTED_VALUE"""),0.8418981481481481)</f>
        <v>0.8418981481</v>
      </c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  <c r="AA2328" s="9"/>
    </row>
    <row r="2329">
      <c r="A2329" s="12">
        <v>0.13</v>
      </c>
      <c r="B2329" s="12">
        <v>231.2</v>
      </c>
      <c r="C2329" s="12">
        <v>10.7</v>
      </c>
      <c r="D2329" s="12">
        <v>4.75</v>
      </c>
      <c r="E2329" s="12">
        <v>0.35</v>
      </c>
      <c r="F2329" s="12">
        <v>50.0</v>
      </c>
      <c r="G2329" s="13">
        <v>44462.84201057871</v>
      </c>
      <c r="H2329" s="14">
        <f>IFERROR(__xludf.DUMMYFUNCTION("SPLIT(G2329, "", "")"),44462.0)</f>
        <v>44462</v>
      </c>
      <c r="I2329" s="15">
        <f>IFERROR(__xludf.DUMMYFUNCTION("""COMPUTED_VALUE"""),0.8420138888888888)</f>
        <v>0.8420138889</v>
      </c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</row>
    <row r="2330">
      <c r="A2330" s="12">
        <v>0.13</v>
      </c>
      <c r="B2330" s="12">
        <v>231.4</v>
      </c>
      <c r="C2330" s="12">
        <v>10.7</v>
      </c>
      <c r="D2330" s="12">
        <v>4.75</v>
      </c>
      <c r="E2330" s="12">
        <v>0.35</v>
      </c>
      <c r="F2330" s="12">
        <v>49.9</v>
      </c>
      <c r="G2330" s="13">
        <v>44462.842112638886</v>
      </c>
      <c r="H2330" s="14">
        <f>IFERROR(__xludf.DUMMYFUNCTION("SPLIT(G2330, "", "")"),44462.0)</f>
        <v>44462</v>
      </c>
      <c r="I2330" s="15">
        <f>IFERROR(__xludf.DUMMYFUNCTION("""COMPUTED_VALUE"""),0.8421180555555555)</f>
        <v>0.8421180556</v>
      </c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</row>
    <row r="2331">
      <c r="A2331" s="12">
        <v>0.13</v>
      </c>
      <c r="B2331" s="12">
        <v>231.4</v>
      </c>
      <c r="C2331" s="12">
        <v>10.7</v>
      </c>
      <c r="D2331" s="12">
        <v>4.75</v>
      </c>
      <c r="E2331" s="12">
        <v>0.35</v>
      </c>
      <c r="F2331" s="12">
        <v>50.0</v>
      </c>
      <c r="G2331" s="13">
        <v>44462.842215462966</v>
      </c>
      <c r="H2331" s="14">
        <f>IFERROR(__xludf.DUMMYFUNCTION("SPLIT(G2331, "", "")"),44462.0)</f>
        <v>44462</v>
      </c>
      <c r="I2331" s="15">
        <f>IFERROR(__xludf.DUMMYFUNCTION("""COMPUTED_VALUE"""),0.8422106481481482)</f>
        <v>0.8422106481</v>
      </c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  <c r="AA2331" s="9"/>
    </row>
    <row r="2332">
      <c r="A2332" s="12">
        <v>0.13</v>
      </c>
      <c r="B2332" s="12">
        <v>231.4</v>
      </c>
      <c r="C2332" s="12">
        <v>10.7</v>
      </c>
      <c r="D2332" s="12">
        <v>4.75</v>
      </c>
      <c r="E2332" s="12">
        <v>0.35</v>
      </c>
      <c r="F2332" s="12">
        <v>50.0</v>
      </c>
      <c r="G2332" s="13">
        <v>44462.84231577546</v>
      </c>
      <c r="H2332" s="14">
        <f>IFERROR(__xludf.DUMMYFUNCTION("SPLIT(G2332, "", "")"),44462.0)</f>
        <v>44462</v>
      </c>
      <c r="I2332" s="15">
        <f>IFERROR(__xludf.DUMMYFUNCTION("""COMPUTED_VALUE"""),0.8423148148148148)</f>
        <v>0.8423148148</v>
      </c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  <c r="AA2332" s="9"/>
    </row>
    <row r="2333">
      <c r="A2333" s="12">
        <v>0.13</v>
      </c>
      <c r="B2333" s="12">
        <v>231.3</v>
      </c>
      <c r="C2333" s="12">
        <v>10.6</v>
      </c>
      <c r="D2333" s="12">
        <v>4.75</v>
      </c>
      <c r="E2333" s="12">
        <v>0.35</v>
      </c>
      <c r="F2333" s="12">
        <v>50.0</v>
      </c>
      <c r="G2333" s="13">
        <v>44462.84242256945</v>
      </c>
      <c r="H2333" s="14">
        <f>IFERROR(__xludf.DUMMYFUNCTION("SPLIT(G2333, "", "")"),44462.0)</f>
        <v>44462</v>
      </c>
      <c r="I2333" s="15">
        <f>IFERROR(__xludf.DUMMYFUNCTION("""COMPUTED_VALUE"""),0.8424189814814815)</f>
        <v>0.8424189815</v>
      </c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</row>
    <row r="2334">
      <c r="A2334" s="12">
        <v>0.13</v>
      </c>
      <c r="B2334" s="12">
        <v>231.6</v>
      </c>
      <c r="C2334" s="12">
        <v>10.7</v>
      </c>
      <c r="D2334" s="12">
        <v>4.75</v>
      </c>
      <c r="E2334" s="12">
        <v>0.35</v>
      </c>
      <c r="F2334" s="12">
        <v>50.0</v>
      </c>
      <c r="G2334" s="13">
        <v>44462.84252996527</v>
      </c>
      <c r="H2334" s="14">
        <f>IFERROR(__xludf.DUMMYFUNCTION("SPLIT(G2334, "", "")"),44462.0)</f>
        <v>44462</v>
      </c>
      <c r="I2334" s="15">
        <f>IFERROR(__xludf.DUMMYFUNCTION("""COMPUTED_VALUE"""),0.8425347222222223)</f>
        <v>0.8425347222</v>
      </c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</row>
    <row r="2335">
      <c r="A2335" s="12">
        <v>0.13</v>
      </c>
      <c r="B2335" s="12">
        <v>231.6</v>
      </c>
      <c r="C2335" s="12">
        <v>10.7</v>
      </c>
      <c r="D2335" s="12">
        <v>4.75</v>
      </c>
      <c r="E2335" s="12">
        <v>0.35</v>
      </c>
      <c r="F2335" s="12">
        <v>50.0</v>
      </c>
      <c r="G2335" s="13">
        <v>44462.84263481481</v>
      </c>
      <c r="H2335" s="14">
        <f>IFERROR(__xludf.DUMMYFUNCTION("SPLIT(G2335, "", "")"),44462.0)</f>
        <v>44462</v>
      </c>
      <c r="I2335" s="15">
        <f>IFERROR(__xludf.DUMMYFUNCTION("""COMPUTED_VALUE"""),0.8426388888888889)</f>
        <v>0.8426388889</v>
      </c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  <c r="AA2335" s="9"/>
    </row>
    <row r="2336">
      <c r="A2336" s="12">
        <v>0.13</v>
      </c>
      <c r="B2336" s="12">
        <v>231.5</v>
      </c>
      <c r="C2336" s="12">
        <v>10.7</v>
      </c>
      <c r="D2336" s="12">
        <v>4.75</v>
      </c>
      <c r="E2336" s="12">
        <v>0.35</v>
      </c>
      <c r="F2336" s="12">
        <v>50.0</v>
      </c>
      <c r="G2336" s="13">
        <v>44462.84274204861</v>
      </c>
      <c r="H2336" s="14">
        <f>IFERROR(__xludf.DUMMYFUNCTION("SPLIT(G2336, "", "")"),44462.0)</f>
        <v>44462</v>
      </c>
      <c r="I2336" s="15">
        <f>IFERROR(__xludf.DUMMYFUNCTION("""COMPUTED_VALUE"""),0.8427430555555555)</f>
        <v>0.8427430556</v>
      </c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  <c r="AA2336" s="9"/>
    </row>
    <row r="2337">
      <c r="A2337" s="12">
        <v>0.13</v>
      </c>
      <c r="B2337" s="12">
        <v>231.4</v>
      </c>
      <c r="C2337" s="12">
        <v>10.6</v>
      </c>
      <c r="D2337" s="12">
        <v>4.75</v>
      </c>
      <c r="E2337" s="12">
        <v>0.35</v>
      </c>
      <c r="F2337" s="12">
        <v>50.0</v>
      </c>
      <c r="G2337" s="13">
        <v>44462.84284423611</v>
      </c>
      <c r="H2337" s="14">
        <f>IFERROR(__xludf.DUMMYFUNCTION("SPLIT(G2337, "", "")"),44462.0)</f>
        <v>44462</v>
      </c>
      <c r="I2337" s="15">
        <f>IFERROR(__xludf.DUMMYFUNCTION("""COMPUTED_VALUE"""),0.8428472222222222)</f>
        <v>0.8428472222</v>
      </c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  <c r="AA2337" s="9"/>
    </row>
    <row r="2338">
      <c r="A2338" s="12">
        <v>0.13</v>
      </c>
      <c r="B2338" s="12">
        <v>230.7</v>
      </c>
      <c r="C2338" s="12">
        <v>10.4</v>
      </c>
      <c r="D2338" s="12">
        <v>4.75</v>
      </c>
      <c r="E2338" s="12">
        <v>0.35</v>
      </c>
      <c r="F2338" s="12">
        <v>50.0</v>
      </c>
      <c r="G2338" s="13">
        <v>44462.84294604167</v>
      </c>
      <c r="H2338" s="14">
        <f>IFERROR(__xludf.DUMMYFUNCTION("SPLIT(G2338, "", "")"),44462.0)</f>
        <v>44462</v>
      </c>
      <c r="I2338" s="15">
        <f>IFERROR(__xludf.DUMMYFUNCTION("""COMPUTED_VALUE"""),0.8429513888888889)</f>
        <v>0.8429513889</v>
      </c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  <c r="AA2338" s="9"/>
    </row>
    <row r="2339">
      <c r="A2339" s="12">
        <v>0.13</v>
      </c>
      <c r="B2339" s="12">
        <v>230.5</v>
      </c>
      <c r="C2339" s="12">
        <v>10.4</v>
      </c>
      <c r="D2339" s="12">
        <v>4.75</v>
      </c>
      <c r="E2339" s="12">
        <v>0.35</v>
      </c>
      <c r="F2339" s="12">
        <v>50.0</v>
      </c>
      <c r="G2339" s="13">
        <v>44462.843046319445</v>
      </c>
      <c r="H2339" s="14">
        <f>IFERROR(__xludf.DUMMYFUNCTION("SPLIT(G2339, "", "")"),44462.0)</f>
        <v>44462</v>
      </c>
      <c r="I2339" s="15">
        <f>IFERROR(__xludf.DUMMYFUNCTION("""COMPUTED_VALUE"""),0.8430439814814815)</f>
        <v>0.8430439815</v>
      </c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</row>
    <row r="2340">
      <c r="A2340" s="12">
        <v>0.13</v>
      </c>
      <c r="B2340" s="12">
        <v>230.5</v>
      </c>
      <c r="C2340" s="12">
        <v>10.4</v>
      </c>
      <c r="D2340" s="12">
        <v>4.75</v>
      </c>
      <c r="E2340" s="12">
        <v>0.35</v>
      </c>
      <c r="F2340" s="12">
        <v>50.0</v>
      </c>
      <c r="G2340" s="13">
        <v>44462.84315068287</v>
      </c>
      <c r="H2340" s="14">
        <f>IFERROR(__xludf.DUMMYFUNCTION("SPLIT(G2340, "", "")"),44462.0)</f>
        <v>44462</v>
      </c>
      <c r="I2340" s="15">
        <f>IFERROR(__xludf.DUMMYFUNCTION("""COMPUTED_VALUE"""),0.8431481481481482)</f>
        <v>0.8431481481</v>
      </c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  <c r="AA2340" s="9"/>
    </row>
    <row r="2341">
      <c r="A2341" s="12">
        <v>0.13</v>
      </c>
      <c r="B2341" s="12">
        <v>230.6</v>
      </c>
      <c r="C2341" s="12">
        <v>10.4</v>
      </c>
      <c r="D2341" s="12">
        <v>4.75</v>
      </c>
      <c r="E2341" s="12">
        <v>0.35</v>
      </c>
      <c r="F2341" s="12">
        <v>50.0</v>
      </c>
      <c r="G2341" s="13">
        <v>44462.843247916666</v>
      </c>
      <c r="H2341" s="14">
        <f>IFERROR(__xludf.DUMMYFUNCTION("SPLIT(G2341, "", "")"),44462.0)</f>
        <v>44462</v>
      </c>
      <c r="I2341" s="15">
        <f>IFERROR(__xludf.DUMMYFUNCTION("""COMPUTED_VALUE"""),0.8432523148148148)</f>
        <v>0.8432523148</v>
      </c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  <c r="AA2341" s="9"/>
    </row>
    <row r="2342">
      <c r="A2342" s="12">
        <v>0.13</v>
      </c>
      <c r="B2342" s="12">
        <v>230.6</v>
      </c>
      <c r="C2342" s="12">
        <v>10.4</v>
      </c>
      <c r="D2342" s="12">
        <v>4.75</v>
      </c>
      <c r="E2342" s="12">
        <v>0.34</v>
      </c>
      <c r="F2342" s="12">
        <v>50.0</v>
      </c>
      <c r="G2342" s="13">
        <v>44462.84335056713</v>
      </c>
      <c r="H2342" s="14">
        <f>IFERROR(__xludf.DUMMYFUNCTION("SPLIT(G2342, "", "")"),44462.0)</f>
        <v>44462</v>
      </c>
      <c r="I2342" s="15">
        <f>IFERROR(__xludf.DUMMYFUNCTION("""COMPUTED_VALUE"""),0.8433449074074074)</f>
        <v>0.8433449074</v>
      </c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  <c r="AA2342" s="9"/>
    </row>
    <row r="2343">
      <c r="A2343" s="12">
        <v>0.13</v>
      </c>
      <c r="B2343" s="12">
        <v>230.7</v>
      </c>
      <c r="C2343" s="12">
        <v>10.4</v>
      </c>
      <c r="D2343" s="12">
        <v>4.75</v>
      </c>
      <c r="E2343" s="12">
        <v>0.35</v>
      </c>
      <c r="F2343" s="12">
        <v>50.0</v>
      </c>
      <c r="G2343" s="13">
        <v>44462.84345508102</v>
      </c>
      <c r="H2343" s="14">
        <f>IFERROR(__xludf.DUMMYFUNCTION("SPLIT(G2343, "", "")"),44462.0)</f>
        <v>44462</v>
      </c>
      <c r="I2343" s="15">
        <f>IFERROR(__xludf.DUMMYFUNCTION("""COMPUTED_VALUE"""),0.8434606481481481)</f>
        <v>0.8434606481</v>
      </c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  <c r="AA2343" s="9"/>
    </row>
    <row r="2344">
      <c r="A2344" s="12">
        <v>0.13</v>
      </c>
      <c r="B2344" s="12">
        <v>230.6</v>
      </c>
      <c r="C2344" s="12">
        <v>10.4</v>
      </c>
      <c r="D2344" s="12">
        <v>4.75</v>
      </c>
      <c r="E2344" s="12">
        <v>0.35</v>
      </c>
      <c r="F2344" s="12">
        <v>50.0</v>
      </c>
      <c r="G2344" s="13">
        <v>44462.84355821759</v>
      </c>
      <c r="H2344" s="14">
        <f>IFERROR(__xludf.DUMMYFUNCTION("SPLIT(G2344, "", "")"),44462.0)</f>
        <v>44462</v>
      </c>
      <c r="I2344" s="15">
        <f>IFERROR(__xludf.DUMMYFUNCTION("""COMPUTED_VALUE"""),0.8435532407407408)</f>
        <v>0.8435532407</v>
      </c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</row>
    <row r="2345">
      <c r="A2345" s="12">
        <v>0.13</v>
      </c>
      <c r="B2345" s="12">
        <v>230.5</v>
      </c>
      <c r="C2345" s="12">
        <v>10.3</v>
      </c>
      <c r="D2345" s="12">
        <v>4.75</v>
      </c>
      <c r="E2345" s="12">
        <v>0.34</v>
      </c>
      <c r="F2345" s="12">
        <v>50.0</v>
      </c>
      <c r="G2345" s="13">
        <v>44462.84365891204</v>
      </c>
      <c r="H2345" s="14">
        <f>IFERROR(__xludf.DUMMYFUNCTION("SPLIT(G2345, "", "")"),44462.0)</f>
        <v>44462</v>
      </c>
      <c r="I2345" s="15">
        <f>IFERROR(__xludf.DUMMYFUNCTION("""COMPUTED_VALUE"""),0.8436574074074074)</f>
        <v>0.8436574074</v>
      </c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  <c r="AA2345" s="9"/>
    </row>
    <row r="2346">
      <c r="A2346" s="12">
        <v>0.13</v>
      </c>
      <c r="B2346" s="12">
        <v>231.3</v>
      </c>
      <c r="C2346" s="12">
        <v>10.6</v>
      </c>
      <c r="D2346" s="12">
        <v>4.75</v>
      </c>
      <c r="E2346" s="12">
        <v>0.35</v>
      </c>
      <c r="F2346" s="12">
        <v>50.0</v>
      </c>
      <c r="G2346" s="13">
        <v>44462.84376204861</v>
      </c>
      <c r="H2346" s="14">
        <f>IFERROR(__xludf.DUMMYFUNCTION("SPLIT(G2346, "", "")"),44462.0)</f>
        <v>44462</v>
      </c>
      <c r="I2346" s="15">
        <f>IFERROR(__xludf.DUMMYFUNCTION("""COMPUTED_VALUE"""),0.843761574074074)</f>
        <v>0.8437615741</v>
      </c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  <c r="AA2346" s="9"/>
    </row>
    <row r="2347">
      <c r="A2347" s="12">
        <v>0.13</v>
      </c>
      <c r="B2347" s="12">
        <v>231.1</v>
      </c>
      <c r="C2347" s="12">
        <v>10.5</v>
      </c>
      <c r="D2347" s="12">
        <v>4.75</v>
      </c>
      <c r="E2347" s="12">
        <v>0.35</v>
      </c>
      <c r="F2347" s="12">
        <v>50.0</v>
      </c>
      <c r="G2347" s="13">
        <v>44462.843869097225</v>
      </c>
      <c r="H2347" s="14">
        <f>IFERROR(__xludf.DUMMYFUNCTION("SPLIT(G2347, "", "")"),44462.0)</f>
        <v>44462</v>
      </c>
      <c r="I2347" s="15">
        <f>IFERROR(__xludf.DUMMYFUNCTION("""COMPUTED_VALUE"""),0.8438657407407407)</f>
        <v>0.8438657407</v>
      </c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  <c r="AA2347" s="9"/>
    </row>
    <row r="2348">
      <c r="A2348" s="12">
        <v>0.13</v>
      </c>
      <c r="B2348" s="12">
        <v>231.2</v>
      </c>
      <c r="C2348" s="12">
        <v>10.5</v>
      </c>
      <c r="D2348" s="12">
        <v>4.75</v>
      </c>
      <c r="E2348" s="12">
        <v>0.35</v>
      </c>
      <c r="F2348" s="12">
        <v>49.9</v>
      </c>
      <c r="G2348" s="13">
        <v>44462.84397594907</v>
      </c>
      <c r="H2348" s="14">
        <f>IFERROR(__xludf.DUMMYFUNCTION("SPLIT(G2348, "", "")"),44462.0)</f>
        <v>44462</v>
      </c>
      <c r="I2348" s="15">
        <f>IFERROR(__xludf.DUMMYFUNCTION("""COMPUTED_VALUE"""),0.8439814814814814)</f>
        <v>0.8439814815</v>
      </c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  <c r="AA2348" s="9"/>
    </row>
    <row r="2349">
      <c r="A2349" s="12">
        <v>0.13</v>
      </c>
      <c r="B2349" s="12">
        <v>231.1</v>
      </c>
      <c r="C2349" s="12">
        <v>10.5</v>
      </c>
      <c r="D2349" s="12">
        <v>4.75</v>
      </c>
      <c r="E2349" s="12">
        <v>0.35</v>
      </c>
      <c r="F2349" s="12">
        <v>50.0</v>
      </c>
      <c r="G2349" s="13">
        <v>44462.84407577546</v>
      </c>
      <c r="H2349" s="14">
        <f>IFERROR(__xludf.DUMMYFUNCTION("SPLIT(G2349, "", "")"),44462.0)</f>
        <v>44462</v>
      </c>
      <c r="I2349" s="15">
        <f>IFERROR(__xludf.DUMMYFUNCTION("""COMPUTED_VALUE"""),0.8440740740740741)</f>
        <v>0.8440740741</v>
      </c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  <c r="AA2349" s="9"/>
    </row>
    <row r="2350">
      <c r="A2350" s="12">
        <v>0.13</v>
      </c>
      <c r="B2350" s="12">
        <v>231.2</v>
      </c>
      <c r="C2350" s="12">
        <v>10.5</v>
      </c>
      <c r="D2350" s="12">
        <v>4.75</v>
      </c>
      <c r="E2350" s="12">
        <v>0.35</v>
      </c>
      <c r="F2350" s="12">
        <v>49.9</v>
      </c>
      <c r="G2350" s="13">
        <v>44462.844172557874</v>
      </c>
      <c r="H2350" s="14">
        <f>IFERROR(__xludf.DUMMYFUNCTION("SPLIT(G2350, "", "")"),44462.0)</f>
        <v>44462</v>
      </c>
      <c r="I2350" s="15">
        <f>IFERROR(__xludf.DUMMYFUNCTION("""COMPUTED_VALUE"""),0.8441782407407408)</f>
        <v>0.8441782407</v>
      </c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  <c r="AA2350" s="9"/>
    </row>
    <row r="2351">
      <c r="A2351" s="12">
        <v>0.13</v>
      </c>
      <c r="B2351" s="12">
        <v>231.2</v>
      </c>
      <c r="C2351" s="12">
        <v>10.4</v>
      </c>
      <c r="D2351" s="12">
        <v>4.75</v>
      </c>
      <c r="E2351" s="12">
        <v>0.35</v>
      </c>
      <c r="F2351" s="12">
        <v>49.9</v>
      </c>
      <c r="G2351" s="13">
        <v>44462.84427298611</v>
      </c>
      <c r="H2351" s="14">
        <f>IFERROR(__xludf.DUMMYFUNCTION("SPLIT(G2351, "", "")"),44462.0)</f>
        <v>44462</v>
      </c>
      <c r="I2351" s="15">
        <f>IFERROR(__xludf.DUMMYFUNCTION("""COMPUTED_VALUE"""),0.8442708333333333)</f>
        <v>0.8442708333</v>
      </c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</row>
    <row r="2352">
      <c r="A2352" s="12">
        <v>0.13</v>
      </c>
      <c r="B2352" s="12">
        <v>231.2</v>
      </c>
      <c r="C2352" s="12">
        <v>10.4</v>
      </c>
      <c r="D2352" s="12">
        <v>4.75</v>
      </c>
      <c r="E2352" s="12">
        <v>0.35</v>
      </c>
      <c r="F2352" s="12">
        <v>50.0</v>
      </c>
      <c r="G2352" s="13">
        <v>44462.844376759254</v>
      </c>
      <c r="H2352" s="14">
        <f>IFERROR(__xludf.DUMMYFUNCTION("SPLIT(G2352, "", "")"),44462.0)</f>
        <v>44462</v>
      </c>
      <c r="I2352" s="15">
        <f>IFERROR(__xludf.DUMMYFUNCTION("""COMPUTED_VALUE"""),0.844375)</f>
        <v>0.844375</v>
      </c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  <c r="AA2352" s="9"/>
    </row>
    <row r="2353">
      <c r="A2353" s="12">
        <v>0.13</v>
      </c>
      <c r="B2353" s="12">
        <v>231.3</v>
      </c>
      <c r="C2353" s="12">
        <v>10.5</v>
      </c>
      <c r="D2353" s="12">
        <v>4.75</v>
      </c>
      <c r="E2353" s="12">
        <v>0.35</v>
      </c>
      <c r="F2353" s="12">
        <v>50.0</v>
      </c>
      <c r="G2353" s="13">
        <v>44462.84448638889</v>
      </c>
      <c r="H2353" s="14">
        <f>IFERROR(__xludf.DUMMYFUNCTION("SPLIT(G2353, "", "")"),44462.0)</f>
        <v>44462</v>
      </c>
      <c r="I2353" s="15">
        <f>IFERROR(__xludf.DUMMYFUNCTION("""COMPUTED_VALUE"""),0.8444907407407407)</f>
        <v>0.8444907407</v>
      </c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  <c r="AA2353" s="9"/>
    </row>
    <row r="2354">
      <c r="A2354" s="12">
        <v>0.13</v>
      </c>
      <c r="B2354" s="12">
        <v>231.4</v>
      </c>
      <c r="C2354" s="12">
        <v>10.5</v>
      </c>
      <c r="D2354" s="12">
        <v>4.75</v>
      </c>
      <c r="E2354" s="12">
        <v>0.35</v>
      </c>
      <c r="F2354" s="12">
        <v>50.0</v>
      </c>
      <c r="G2354" s="13">
        <v>44462.84459420139</v>
      </c>
      <c r="H2354" s="14">
        <f>IFERROR(__xludf.DUMMYFUNCTION("SPLIT(G2354, "", "")"),44462.0)</f>
        <v>44462</v>
      </c>
      <c r="I2354" s="15">
        <f>IFERROR(__xludf.DUMMYFUNCTION("""COMPUTED_VALUE"""),0.8445949074074074)</f>
        <v>0.8445949074</v>
      </c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  <c r="AA2354" s="9"/>
    </row>
    <row r="2355">
      <c r="A2355" s="12">
        <v>0.13</v>
      </c>
      <c r="B2355" s="12">
        <v>231.5</v>
      </c>
      <c r="C2355" s="12">
        <v>10.5</v>
      </c>
      <c r="D2355" s="12">
        <v>4.75</v>
      </c>
      <c r="E2355" s="12">
        <v>0.35</v>
      </c>
      <c r="F2355" s="12">
        <v>50.0</v>
      </c>
      <c r="G2355" s="13">
        <v>44462.844699803245</v>
      </c>
      <c r="H2355" s="14">
        <f>IFERROR(__xludf.DUMMYFUNCTION("SPLIT(G2355, "", "")"),44462.0)</f>
        <v>44462</v>
      </c>
      <c r="I2355" s="15">
        <f>IFERROR(__xludf.DUMMYFUNCTION("""COMPUTED_VALUE"""),0.8446990740740741)</f>
        <v>0.8446990741</v>
      </c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</row>
    <row r="2356">
      <c r="A2356" s="12">
        <v>0.13</v>
      </c>
      <c r="B2356" s="12">
        <v>231.5</v>
      </c>
      <c r="C2356" s="12">
        <v>10.4</v>
      </c>
      <c r="D2356" s="12">
        <v>4.75</v>
      </c>
      <c r="E2356" s="12">
        <v>0.34</v>
      </c>
      <c r="F2356" s="12">
        <v>50.0</v>
      </c>
      <c r="G2356" s="13">
        <v>44462.84480553241</v>
      </c>
      <c r="H2356" s="14">
        <f>IFERROR(__xludf.DUMMYFUNCTION("SPLIT(G2356, "", "")"),44462.0)</f>
        <v>44462</v>
      </c>
      <c r="I2356" s="15">
        <f>IFERROR(__xludf.DUMMYFUNCTION("""COMPUTED_VALUE"""),0.8448032407407408)</f>
        <v>0.8448032407</v>
      </c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</row>
    <row r="2357">
      <c r="A2357" s="12">
        <v>0.13</v>
      </c>
      <c r="B2357" s="12">
        <v>231.6</v>
      </c>
      <c r="C2357" s="12">
        <v>10.4</v>
      </c>
      <c r="D2357" s="12">
        <v>4.75</v>
      </c>
      <c r="E2357" s="12">
        <v>0.35</v>
      </c>
      <c r="F2357" s="12">
        <v>50.0</v>
      </c>
      <c r="G2357" s="13">
        <v>44462.84490650463</v>
      </c>
      <c r="H2357" s="14">
        <f>IFERROR(__xludf.DUMMYFUNCTION("SPLIT(G2357, "", "")"),44462.0)</f>
        <v>44462</v>
      </c>
      <c r="I2357" s="15">
        <f>IFERROR(__xludf.DUMMYFUNCTION("""COMPUTED_VALUE"""),0.8449074074074074)</f>
        <v>0.8449074074</v>
      </c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</row>
    <row r="2358">
      <c r="A2358" s="12">
        <v>0.13</v>
      </c>
      <c r="B2358" s="12">
        <v>231.6</v>
      </c>
      <c r="C2358" s="12">
        <v>10.4</v>
      </c>
      <c r="D2358" s="12">
        <v>4.75</v>
      </c>
      <c r="E2358" s="12">
        <v>0.35</v>
      </c>
      <c r="F2358" s="12">
        <v>50.0</v>
      </c>
      <c r="G2358" s="13">
        <v>44462.84501074074</v>
      </c>
      <c r="H2358" s="14">
        <f>IFERROR(__xludf.DUMMYFUNCTION("SPLIT(G2358, "", "")"),44462.0)</f>
        <v>44462</v>
      </c>
      <c r="I2358" s="15">
        <f>IFERROR(__xludf.DUMMYFUNCTION("""COMPUTED_VALUE"""),0.8450115740740741)</f>
        <v>0.8450115741</v>
      </c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</row>
    <row r="2359">
      <c r="A2359" s="12">
        <v>0.13</v>
      </c>
      <c r="B2359" s="12">
        <v>231.5</v>
      </c>
      <c r="C2359" s="12">
        <v>10.4</v>
      </c>
      <c r="D2359" s="12">
        <v>4.75</v>
      </c>
      <c r="E2359" s="12">
        <v>0.35</v>
      </c>
      <c r="F2359" s="12">
        <v>50.0</v>
      </c>
      <c r="G2359" s="13">
        <v>44462.84511603009</v>
      </c>
      <c r="H2359" s="14">
        <f>IFERROR(__xludf.DUMMYFUNCTION("SPLIT(G2359, "", "")"),44462.0)</f>
        <v>44462</v>
      </c>
      <c r="I2359" s="15">
        <f>IFERROR(__xludf.DUMMYFUNCTION("""COMPUTED_VALUE"""),0.8451157407407407)</f>
        <v>0.8451157407</v>
      </c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  <c r="AA2359" s="9"/>
    </row>
    <row r="2360">
      <c r="A2360" s="12">
        <v>0.13</v>
      </c>
      <c r="B2360" s="12">
        <v>231.4</v>
      </c>
      <c r="C2360" s="12">
        <v>10.4</v>
      </c>
      <c r="D2360" s="12">
        <v>4.75</v>
      </c>
      <c r="E2360" s="12">
        <v>0.35</v>
      </c>
      <c r="F2360" s="12">
        <v>49.9</v>
      </c>
      <c r="G2360" s="13">
        <v>44462.84521826389</v>
      </c>
      <c r="H2360" s="14">
        <f>IFERROR(__xludf.DUMMYFUNCTION("SPLIT(G2360, "", "")"),44462.0)</f>
        <v>44462</v>
      </c>
      <c r="I2360" s="15">
        <f>IFERROR(__xludf.DUMMYFUNCTION("""COMPUTED_VALUE"""),0.8452199074074074)</f>
        <v>0.8452199074</v>
      </c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</row>
    <row r="2361">
      <c r="A2361" s="12">
        <v>0.13</v>
      </c>
      <c r="B2361" s="12">
        <v>231.4</v>
      </c>
      <c r="C2361" s="12">
        <v>10.4</v>
      </c>
      <c r="D2361" s="12">
        <v>4.75</v>
      </c>
      <c r="E2361" s="12">
        <v>0.35</v>
      </c>
      <c r="F2361" s="12">
        <v>49.9</v>
      </c>
      <c r="G2361" s="13">
        <v>44462.845321608795</v>
      </c>
      <c r="H2361" s="14">
        <f>IFERROR(__xludf.DUMMYFUNCTION("SPLIT(G2361, "", "")"),44462.0)</f>
        <v>44462</v>
      </c>
      <c r="I2361" s="15">
        <f>IFERROR(__xludf.DUMMYFUNCTION("""COMPUTED_VALUE"""),0.8453240740740741)</f>
        <v>0.8453240741</v>
      </c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  <c r="AA2361" s="9"/>
    </row>
    <row r="2362">
      <c r="A2362" s="12">
        <v>0.13</v>
      </c>
      <c r="B2362" s="12">
        <v>231.2</v>
      </c>
      <c r="C2362" s="12">
        <v>10.3</v>
      </c>
      <c r="D2362" s="12">
        <v>4.75</v>
      </c>
      <c r="E2362" s="12">
        <v>0.35</v>
      </c>
      <c r="F2362" s="12">
        <v>49.9</v>
      </c>
      <c r="G2362" s="13">
        <v>44462.845424976855</v>
      </c>
      <c r="H2362" s="14">
        <f>IFERROR(__xludf.DUMMYFUNCTION("SPLIT(G2362, "", "")"),44462.0)</f>
        <v>44462</v>
      </c>
      <c r="I2362" s="15">
        <f>IFERROR(__xludf.DUMMYFUNCTION("""COMPUTED_VALUE"""),0.8454282407407407)</f>
        <v>0.8454282407</v>
      </c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  <c r="AA2362" s="9"/>
    </row>
    <row r="2363">
      <c r="A2363" s="12">
        <v>0.13</v>
      </c>
      <c r="B2363" s="12">
        <v>231.3</v>
      </c>
      <c r="C2363" s="12">
        <v>10.3</v>
      </c>
      <c r="D2363" s="12">
        <v>4.75</v>
      </c>
      <c r="E2363" s="12">
        <v>0.34</v>
      </c>
      <c r="F2363" s="12">
        <v>50.0</v>
      </c>
      <c r="G2363" s="13">
        <v>44462.8455271875</v>
      </c>
      <c r="H2363" s="14">
        <f>IFERROR(__xludf.DUMMYFUNCTION("SPLIT(G2363, "", "")"),44462.0)</f>
        <v>44462</v>
      </c>
      <c r="I2363" s="15">
        <f>IFERROR(__xludf.DUMMYFUNCTION("""COMPUTED_VALUE"""),0.8455324074074074)</f>
        <v>0.8455324074</v>
      </c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/>
    </row>
    <row r="2364">
      <c r="A2364" s="12">
        <v>0.13</v>
      </c>
      <c r="B2364" s="12">
        <v>231.3</v>
      </c>
      <c r="C2364" s="12">
        <v>10.3</v>
      </c>
      <c r="D2364" s="12">
        <v>4.75</v>
      </c>
      <c r="E2364" s="12">
        <v>0.35</v>
      </c>
      <c r="F2364" s="12">
        <v>49.9</v>
      </c>
      <c r="G2364" s="13">
        <v>44462.84563552083</v>
      </c>
      <c r="H2364" s="14">
        <f>IFERROR(__xludf.DUMMYFUNCTION("SPLIT(G2364, "", "")"),44462.0)</f>
        <v>44462</v>
      </c>
      <c r="I2364" s="15">
        <f>IFERROR(__xludf.DUMMYFUNCTION("""COMPUTED_VALUE"""),0.8456365740740741)</f>
        <v>0.8456365741</v>
      </c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</row>
    <row r="2365">
      <c r="A2365" s="12">
        <v>0.13</v>
      </c>
      <c r="B2365" s="12">
        <v>231.3</v>
      </c>
      <c r="C2365" s="12">
        <v>10.4</v>
      </c>
      <c r="D2365" s="12">
        <v>4.75</v>
      </c>
      <c r="E2365" s="12">
        <v>0.35</v>
      </c>
      <c r="F2365" s="12">
        <v>49.9</v>
      </c>
      <c r="G2365" s="13">
        <v>44462.84574266204</v>
      </c>
      <c r="H2365" s="14">
        <f>IFERROR(__xludf.DUMMYFUNCTION("SPLIT(G2365, "", "")"),44462.0)</f>
        <v>44462</v>
      </c>
      <c r="I2365" s="15">
        <f>IFERROR(__xludf.DUMMYFUNCTION("""COMPUTED_VALUE"""),0.8457407407407408)</f>
        <v>0.8457407407</v>
      </c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</row>
    <row r="2366">
      <c r="A2366" s="12">
        <v>0.13</v>
      </c>
      <c r="B2366" s="12">
        <v>231.4</v>
      </c>
      <c r="C2366" s="12">
        <v>10.4</v>
      </c>
      <c r="D2366" s="12">
        <v>4.75</v>
      </c>
      <c r="E2366" s="12">
        <v>0.35</v>
      </c>
      <c r="F2366" s="12">
        <v>50.0</v>
      </c>
      <c r="G2366" s="13">
        <v>44462.8458487037</v>
      </c>
      <c r="H2366" s="14">
        <f>IFERROR(__xludf.DUMMYFUNCTION("SPLIT(G2366, "", "")"),44462.0)</f>
        <v>44462</v>
      </c>
      <c r="I2366" s="15">
        <f>IFERROR(__xludf.DUMMYFUNCTION("""COMPUTED_VALUE"""),0.8458449074074074)</f>
        <v>0.8458449074</v>
      </c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</row>
    <row r="2367">
      <c r="A2367" s="12">
        <v>0.13</v>
      </c>
      <c r="B2367" s="12">
        <v>231.5</v>
      </c>
      <c r="C2367" s="12">
        <v>10.3</v>
      </c>
      <c r="D2367" s="12">
        <v>4.75</v>
      </c>
      <c r="E2367" s="12">
        <v>0.34</v>
      </c>
      <c r="F2367" s="12">
        <v>50.0</v>
      </c>
      <c r="G2367" s="13">
        <v>44462.84596636574</v>
      </c>
      <c r="H2367" s="14">
        <f>IFERROR(__xludf.DUMMYFUNCTION("SPLIT(G2367, "", "")"),44462.0)</f>
        <v>44462</v>
      </c>
      <c r="I2367" s="15">
        <f>IFERROR(__xludf.DUMMYFUNCTION("""COMPUTED_VALUE"""),0.8459606481481482)</f>
        <v>0.8459606481</v>
      </c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</row>
    <row r="2368">
      <c r="A2368" s="12">
        <v>0.13</v>
      </c>
      <c r="B2368" s="12">
        <v>231.6</v>
      </c>
      <c r="C2368" s="12">
        <v>10.4</v>
      </c>
      <c r="D2368" s="12">
        <v>4.75</v>
      </c>
      <c r="E2368" s="12">
        <v>0.35</v>
      </c>
      <c r="F2368" s="12">
        <v>50.0</v>
      </c>
      <c r="G2368" s="13">
        <v>44462.84606957176</v>
      </c>
      <c r="H2368" s="14">
        <f>IFERROR(__xludf.DUMMYFUNCTION("SPLIT(G2368, "", "")"),44462.0)</f>
        <v>44462</v>
      </c>
      <c r="I2368" s="15">
        <f>IFERROR(__xludf.DUMMYFUNCTION("""COMPUTED_VALUE"""),0.8460648148148148)</f>
        <v>0.8460648148</v>
      </c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</row>
    <row r="2369">
      <c r="A2369" s="12">
        <v>0.13</v>
      </c>
      <c r="B2369" s="12">
        <v>231.7</v>
      </c>
      <c r="C2369" s="12">
        <v>10.3</v>
      </c>
      <c r="D2369" s="12">
        <v>4.75</v>
      </c>
      <c r="E2369" s="12">
        <v>0.34</v>
      </c>
      <c r="F2369" s="12">
        <v>50.0</v>
      </c>
      <c r="G2369" s="13">
        <v>44462.846169641205</v>
      </c>
      <c r="H2369" s="14">
        <f>IFERROR(__xludf.DUMMYFUNCTION("SPLIT(G2369, "", "")"),44462.0)</f>
        <v>44462</v>
      </c>
      <c r="I2369" s="15">
        <f>IFERROR(__xludf.DUMMYFUNCTION("""COMPUTED_VALUE"""),0.8461689814814815)</f>
        <v>0.8461689815</v>
      </c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</row>
    <row r="2370">
      <c r="A2370" s="12">
        <v>0.13</v>
      </c>
      <c r="B2370" s="12">
        <v>231.9</v>
      </c>
      <c r="C2370" s="12">
        <v>10.4</v>
      </c>
      <c r="D2370" s="12">
        <v>4.75</v>
      </c>
      <c r="E2370" s="12">
        <v>0.35</v>
      </c>
      <c r="F2370" s="12">
        <v>50.0</v>
      </c>
      <c r="G2370" s="13">
        <v>44462.84627197917</v>
      </c>
      <c r="H2370" s="14">
        <f>IFERROR(__xludf.DUMMYFUNCTION("SPLIT(G2370, "", "")"),44462.0)</f>
        <v>44462</v>
      </c>
      <c r="I2370" s="15">
        <f>IFERROR(__xludf.DUMMYFUNCTION("""COMPUTED_VALUE"""),0.8462731481481481)</f>
        <v>0.8462731481</v>
      </c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</row>
    <row r="2371">
      <c r="A2371" s="12">
        <v>0.13</v>
      </c>
      <c r="B2371" s="12">
        <v>231.9</v>
      </c>
      <c r="C2371" s="12">
        <v>10.4</v>
      </c>
      <c r="D2371" s="12">
        <v>4.75</v>
      </c>
      <c r="E2371" s="12">
        <v>0.35</v>
      </c>
      <c r="F2371" s="12">
        <v>50.0</v>
      </c>
      <c r="G2371" s="13">
        <v>44462.846373865745</v>
      </c>
      <c r="H2371" s="14">
        <f>IFERROR(__xludf.DUMMYFUNCTION("SPLIT(G2371, "", "")"),44462.0)</f>
        <v>44462</v>
      </c>
      <c r="I2371" s="15">
        <f>IFERROR(__xludf.DUMMYFUNCTION("""COMPUTED_VALUE"""),0.8463773148148148)</f>
        <v>0.8463773148</v>
      </c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</row>
    <row r="2372">
      <c r="A2372" s="12">
        <v>0.13</v>
      </c>
      <c r="B2372" s="12">
        <v>231.8</v>
      </c>
      <c r="C2372" s="12">
        <v>10.3</v>
      </c>
      <c r="D2372" s="12">
        <v>4.75</v>
      </c>
      <c r="E2372" s="12">
        <v>0.34</v>
      </c>
      <c r="F2372" s="12">
        <v>50.0</v>
      </c>
      <c r="G2372" s="13">
        <v>44462.84647149306</v>
      </c>
      <c r="H2372" s="14">
        <f>IFERROR(__xludf.DUMMYFUNCTION("SPLIT(G2372, "", "")"),44462.0)</f>
        <v>44462</v>
      </c>
      <c r="I2372" s="15">
        <f>IFERROR(__xludf.DUMMYFUNCTION("""COMPUTED_VALUE"""),0.8464699074074075)</f>
        <v>0.8464699074</v>
      </c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</row>
    <row r="2373">
      <c r="A2373" s="12">
        <v>0.13</v>
      </c>
      <c r="B2373" s="12">
        <v>231.7</v>
      </c>
      <c r="C2373" s="12">
        <v>10.3</v>
      </c>
      <c r="D2373" s="12">
        <v>4.75</v>
      </c>
      <c r="E2373" s="12">
        <v>0.34</v>
      </c>
      <c r="F2373" s="12">
        <v>50.0</v>
      </c>
      <c r="G2373" s="13">
        <v>44462.84657326389</v>
      </c>
      <c r="H2373" s="14">
        <f>IFERROR(__xludf.DUMMYFUNCTION("SPLIT(G2373, "", "")"),44462.0)</f>
        <v>44462</v>
      </c>
      <c r="I2373" s="15">
        <f>IFERROR(__xludf.DUMMYFUNCTION("""COMPUTED_VALUE"""),0.846574074074074)</f>
        <v>0.8465740741</v>
      </c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</row>
    <row r="2374">
      <c r="A2374" s="12">
        <v>0.13</v>
      </c>
      <c r="B2374" s="12">
        <v>231.6</v>
      </c>
      <c r="C2374" s="12">
        <v>10.3</v>
      </c>
      <c r="D2374" s="12">
        <v>4.75</v>
      </c>
      <c r="E2374" s="12">
        <v>0.34</v>
      </c>
      <c r="F2374" s="12">
        <v>49.9</v>
      </c>
      <c r="G2374" s="13">
        <v>44462.846675277775</v>
      </c>
      <c r="H2374" s="14">
        <f>IFERROR(__xludf.DUMMYFUNCTION("SPLIT(G2374, "", "")"),44462.0)</f>
        <v>44462</v>
      </c>
      <c r="I2374" s="15">
        <f>IFERROR(__xludf.DUMMYFUNCTION("""COMPUTED_VALUE"""),0.8466782407407407)</f>
        <v>0.8466782407</v>
      </c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</row>
    <row r="2375">
      <c r="A2375" s="12">
        <v>0.13</v>
      </c>
      <c r="B2375" s="12">
        <v>231.4</v>
      </c>
      <c r="C2375" s="12">
        <v>10.1</v>
      </c>
      <c r="D2375" s="12">
        <v>4.75</v>
      </c>
      <c r="E2375" s="12">
        <v>0.34</v>
      </c>
      <c r="F2375" s="12">
        <v>49.9</v>
      </c>
      <c r="G2375" s="13">
        <v>44462.84678013889</v>
      </c>
      <c r="H2375" s="14">
        <f>IFERROR(__xludf.DUMMYFUNCTION("SPLIT(G2375, "", "")"),44462.0)</f>
        <v>44462</v>
      </c>
      <c r="I2375" s="15">
        <f>IFERROR(__xludf.DUMMYFUNCTION("""COMPUTED_VALUE"""),0.8467824074074074)</f>
        <v>0.8467824074</v>
      </c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</row>
    <row r="2376">
      <c r="A2376" s="12">
        <v>0.13</v>
      </c>
      <c r="B2376" s="12">
        <v>231.6</v>
      </c>
      <c r="C2376" s="12">
        <v>10.2</v>
      </c>
      <c r="D2376" s="12">
        <v>4.75</v>
      </c>
      <c r="E2376" s="12">
        <v>0.35</v>
      </c>
      <c r="F2376" s="12">
        <v>50.0</v>
      </c>
      <c r="G2376" s="13">
        <v>44462.846892534726</v>
      </c>
      <c r="H2376" s="14">
        <f>IFERROR(__xludf.DUMMYFUNCTION("SPLIT(G2376, "", "")"),44462.0)</f>
        <v>44462</v>
      </c>
      <c r="I2376" s="15">
        <f>IFERROR(__xludf.DUMMYFUNCTION("""COMPUTED_VALUE"""),0.8468981481481481)</f>
        <v>0.8468981481</v>
      </c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</row>
    <row r="2377">
      <c r="A2377" s="12">
        <v>0.13</v>
      </c>
      <c r="B2377" s="12">
        <v>231.5</v>
      </c>
      <c r="C2377" s="12">
        <v>10.2</v>
      </c>
      <c r="D2377" s="12">
        <v>4.75</v>
      </c>
      <c r="E2377" s="12">
        <v>0.34</v>
      </c>
      <c r="F2377" s="12">
        <v>49.9</v>
      </c>
      <c r="G2377" s="13">
        <v>44462.84699820602</v>
      </c>
      <c r="H2377" s="14">
        <f>IFERROR(__xludf.DUMMYFUNCTION("SPLIT(G2377, "", "")"),44462.0)</f>
        <v>44462</v>
      </c>
      <c r="I2377" s="15">
        <f>IFERROR(__xludf.DUMMYFUNCTION("""COMPUTED_VALUE"""),0.8470023148148148)</f>
        <v>0.8470023148</v>
      </c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</row>
    <row r="2378">
      <c r="A2378" s="12">
        <v>0.13</v>
      </c>
      <c r="B2378" s="12">
        <v>231.4</v>
      </c>
      <c r="C2378" s="12">
        <v>10.2</v>
      </c>
      <c r="D2378" s="12">
        <v>4.75</v>
      </c>
      <c r="E2378" s="12">
        <v>0.34</v>
      </c>
      <c r="F2378" s="12">
        <v>50.0</v>
      </c>
      <c r="G2378" s="13">
        <v>44462.84710079861</v>
      </c>
      <c r="H2378" s="14">
        <f>IFERROR(__xludf.DUMMYFUNCTION("SPLIT(G2378, "", "")"),44462.0)</f>
        <v>44462</v>
      </c>
      <c r="I2378" s="15">
        <f>IFERROR(__xludf.DUMMYFUNCTION("""COMPUTED_VALUE"""),0.8471064814814815)</f>
        <v>0.8471064815</v>
      </c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</row>
    <row r="2379">
      <c r="A2379" s="12">
        <v>0.13</v>
      </c>
      <c r="B2379" s="12">
        <v>231.3</v>
      </c>
      <c r="C2379" s="12">
        <v>10.2</v>
      </c>
      <c r="D2379" s="12">
        <v>4.75</v>
      </c>
      <c r="E2379" s="12">
        <v>0.34</v>
      </c>
      <c r="F2379" s="12">
        <v>49.9</v>
      </c>
      <c r="G2379" s="13">
        <v>44462.8472080787</v>
      </c>
      <c r="H2379" s="14">
        <f>IFERROR(__xludf.DUMMYFUNCTION("SPLIT(G2379, "", "")"),44462.0)</f>
        <v>44462</v>
      </c>
      <c r="I2379" s="15">
        <f>IFERROR(__xludf.DUMMYFUNCTION("""COMPUTED_VALUE"""),0.8472106481481482)</f>
        <v>0.8472106481</v>
      </c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</row>
    <row r="2380">
      <c r="A2380" s="12">
        <v>0.13</v>
      </c>
      <c r="B2380" s="12">
        <v>231.6</v>
      </c>
      <c r="C2380" s="12">
        <v>10.2</v>
      </c>
      <c r="D2380" s="12">
        <v>4.75</v>
      </c>
      <c r="E2380" s="12">
        <v>0.34</v>
      </c>
      <c r="F2380" s="12">
        <v>50.0</v>
      </c>
      <c r="G2380" s="13">
        <v>44462.84731631944</v>
      </c>
      <c r="H2380" s="14">
        <f>IFERROR(__xludf.DUMMYFUNCTION("SPLIT(G2380, "", "")"),44462.0)</f>
        <v>44462</v>
      </c>
      <c r="I2380" s="15">
        <f>IFERROR(__xludf.DUMMYFUNCTION("""COMPUTED_VALUE"""),0.8473148148148149)</f>
        <v>0.8473148148</v>
      </c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</row>
    <row r="2381">
      <c r="A2381" s="12">
        <v>0.13</v>
      </c>
      <c r="B2381" s="12">
        <v>231.6</v>
      </c>
      <c r="C2381" s="12">
        <v>10.2</v>
      </c>
      <c r="D2381" s="12">
        <v>4.75</v>
      </c>
      <c r="E2381" s="12">
        <v>0.34</v>
      </c>
      <c r="F2381" s="12">
        <v>50.0</v>
      </c>
      <c r="G2381" s="13">
        <v>44462.8474196412</v>
      </c>
      <c r="H2381" s="14">
        <f>IFERROR(__xludf.DUMMYFUNCTION("SPLIT(G2381, "", "")"),44462.0)</f>
        <v>44462</v>
      </c>
      <c r="I2381" s="15">
        <f>IFERROR(__xludf.DUMMYFUNCTION("""COMPUTED_VALUE"""),0.8474189814814815)</f>
        <v>0.8474189815</v>
      </c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</row>
    <row r="2382">
      <c r="A2382" s="12">
        <v>0.13</v>
      </c>
      <c r="B2382" s="12">
        <v>231.7</v>
      </c>
      <c r="C2382" s="12">
        <v>10.2</v>
      </c>
      <c r="D2382" s="12">
        <v>4.75</v>
      </c>
      <c r="E2382" s="12">
        <v>0.34</v>
      </c>
      <c r="F2382" s="12">
        <v>50.0</v>
      </c>
      <c r="G2382" s="13">
        <v>44462.84752167824</v>
      </c>
      <c r="H2382" s="14">
        <f>IFERROR(__xludf.DUMMYFUNCTION("SPLIT(G2382, "", "")"),44462.0)</f>
        <v>44462</v>
      </c>
      <c r="I2382" s="15">
        <f>IFERROR(__xludf.DUMMYFUNCTION("""COMPUTED_VALUE"""),0.8475231481481481)</f>
        <v>0.8475231481</v>
      </c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</row>
    <row r="2383">
      <c r="A2383" s="12">
        <v>0.13</v>
      </c>
      <c r="B2383" s="12">
        <v>231.8</v>
      </c>
      <c r="C2383" s="12">
        <v>10.2</v>
      </c>
      <c r="D2383" s="12">
        <v>4.75</v>
      </c>
      <c r="E2383" s="12">
        <v>0.34</v>
      </c>
      <c r="F2383" s="12">
        <v>50.0</v>
      </c>
      <c r="G2383" s="13">
        <v>44462.847628020834</v>
      </c>
      <c r="H2383" s="14">
        <f>IFERROR(__xludf.DUMMYFUNCTION("SPLIT(G2383, "", "")"),44462.0)</f>
        <v>44462</v>
      </c>
      <c r="I2383" s="15">
        <f>IFERROR(__xludf.DUMMYFUNCTION("""COMPUTED_VALUE"""),0.8476273148148148)</f>
        <v>0.8476273148</v>
      </c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</row>
    <row r="2384">
      <c r="A2384" s="12">
        <v>0.13</v>
      </c>
      <c r="B2384" s="12">
        <v>231.8</v>
      </c>
      <c r="C2384" s="12">
        <v>10.2</v>
      </c>
      <c r="D2384" s="12">
        <v>4.75</v>
      </c>
      <c r="E2384" s="12">
        <v>0.34</v>
      </c>
      <c r="F2384" s="12">
        <v>50.0</v>
      </c>
      <c r="G2384" s="13">
        <v>44462.847737986114</v>
      </c>
      <c r="H2384" s="14">
        <f>IFERROR(__xludf.DUMMYFUNCTION("SPLIT(G2384, "", "")"),44462.0)</f>
        <v>44462</v>
      </c>
      <c r="I2384" s="15">
        <f>IFERROR(__xludf.DUMMYFUNCTION("""COMPUTED_VALUE"""),0.8477430555555555)</f>
        <v>0.8477430556</v>
      </c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</row>
    <row r="2385">
      <c r="A2385" s="12">
        <v>0.13</v>
      </c>
      <c r="B2385" s="12">
        <v>231.7</v>
      </c>
      <c r="C2385" s="12">
        <v>10.2</v>
      </c>
      <c r="D2385" s="12">
        <v>4.75</v>
      </c>
      <c r="E2385" s="12">
        <v>0.35</v>
      </c>
      <c r="F2385" s="12">
        <v>50.0</v>
      </c>
      <c r="G2385" s="13">
        <v>44462.847845798606</v>
      </c>
      <c r="H2385" s="14">
        <f>IFERROR(__xludf.DUMMYFUNCTION("SPLIT(G2385, "", "")"),44462.0)</f>
        <v>44462</v>
      </c>
      <c r="I2385" s="15">
        <f>IFERROR(__xludf.DUMMYFUNCTION("""COMPUTED_VALUE"""),0.8478472222222222)</f>
        <v>0.8478472222</v>
      </c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</row>
    <row r="2386">
      <c r="A2386" s="12">
        <v>0.13</v>
      </c>
      <c r="B2386" s="12">
        <v>231.7</v>
      </c>
      <c r="C2386" s="12">
        <v>10.2</v>
      </c>
      <c r="D2386" s="12">
        <v>4.75</v>
      </c>
      <c r="E2386" s="12">
        <v>0.34</v>
      </c>
      <c r="F2386" s="12">
        <v>50.0</v>
      </c>
      <c r="G2386" s="13">
        <v>44462.84794609954</v>
      </c>
      <c r="H2386" s="14">
        <f>IFERROR(__xludf.DUMMYFUNCTION("SPLIT(G2386, "", "")"),44462.0)</f>
        <v>44462</v>
      </c>
      <c r="I2386" s="15">
        <f>IFERROR(__xludf.DUMMYFUNCTION("""COMPUTED_VALUE"""),0.8479513888888889)</f>
        <v>0.8479513889</v>
      </c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</row>
    <row r="2387">
      <c r="A2387" s="12">
        <v>0.13</v>
      </c>
      <c r="B2387" s="12">
        <v>231.8</v>
      </c>
      <c r="C2387" s="12">
        <v>10.2</v>
      </c>
      <c r="D2387" s="12">
        <v>4.75</v>
      </c>
      <c r="E2387" s="12">
        <v>0.34</v>
      </c>
      <c r="F2387" s="12">
        <v>50.0</v>
      </c>
      <c r="G2387" s="13">
        <v>44462.8480508912</v>
      </c>
      <c r="H2387" s="14">
        <f>IFERROR(__xludf.DUMMYFUNCTION("SPLIT(G2387, "", "")"),44462.0)</f>
        <v>44462</v>
      </c>
      <c r="I2387" s="15">
        <f>IFERROR(__xludf.DUMMYFUNCTION("""COMPUTED_VALUE"""),0.8480555555555556)</f>
        <v>0.8480555556</v>
      </c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</row>
    <row r="2388">
      <c r="A2388" s="12">
        <v>0.13</v>
      </c>
      <c r="B2388" s="12">
        <v>231.9</v>
      </c>
      <c r="C2388" s="12">
        <v>10.2</v>
      </c>
      <c r="D2388" s="12">
        <v>4.75</v>
      </c>
      <c r="E2388" s="12">
        <v>0.34</v>
      </c>
      <c r="F2388" s="12">
        <v>50.0</v>
      </c>
      <c r="G2388" s="13">
        <v>44462.84815725694</v>
      </c>
      <c r="H2388" s="14">
        <f>IFERROR(__xludf.DUMMYFUNCTION("SPLIT(G2388, "", "")"),44462.0)</f>
        <v>44462</v>
      </c>
      <c r="I2388" s="15">
        <f>IFERROR(__xludf.DUMMYFUNCTION("""COMPUTED_VALUE"""),0.8481597222222222)</f>
        <v>0.8481597222</v>
      </c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  <c r="AA2388" s="9"/>
    </row>
    <row r="2389">
      <c r="A2389" s="12">
        <v>0.13</v>
      </c>
      <c r="B2389" s="12">
        <v>231.9</v>
      </c>
      <c r="C2389" s="12">
        <v>10.1</v>
      </c>
      <c r="D2389" s="12">
        <v>4.75</v>
      </c>
      <c r="E2389" s="12">
        <v>0.34</v>
      </c>
      <c r="F2389" s="12">
        <v>50.0</v>
      </c>
      <c r="G2389" s="13">
        <v>44462.84826315972</v>
      </c>
      <c r="H2389" s="14">
        <f>IFERROR(__xludf.DUMMYFUNCTION("SPLIT(G2389, "", "")"),44462.0)</f>
        <v>44462</v>
      </c>
      <c r="I2389" s="15">
        <f>IFERROR(__xludf.DUMMYFUNCTION("""COMPUTED_VALUE"""),0.8482638888888889)</f>
        <v>0.8482638889</v>
      </c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  <c r="AA2389" s="9"/>
    </row>
    <row r="2390">
      <c r="A2390" s="12">
        <v>0.13</v>
      </c>
      <c r="B2390" s="12">
        <v>231.9</v>
      </c>
      <c r="C2390" s="12">
        <v>10.2</v>
      </c>
      <c r="D2390" s="12">
        <v>4.75</v>
      </c>
      <c r="E2390" s="12">
        <v>0.34</v>
      </c>
      <c r="F2390" s="12">
        <v>50.0</v>
      </c>
      <c r="G2390" s="13">
        <v>44462.84837006945</v>
      </c>
      <c r="H2390" s="14">
        <f>IFERROR(__xludf.DUMMYFUNCTION("SPLIT(G2390, "", "")"),44462.0)</f>
        <v>44462</v>
      </c>
      <c r="I2390" s="15">
        <f>IFERROR(__xludf.DUMMYFUNCTION("""COMPUTED_VALUE"""),0.8483680555555555)</f>
        <v>0.8483680556</v>
      </c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  <c r="AA2390" s="9"/>
    </row>
    <row r="2391">
      <c r="A2391" s="12">
        <v>0.13</v>
      </c>
      <c r="B2391" s="12">
        <v>231.8</v>
      </c>
      <c r="C2391" s="12">
        <v>10.1</v>
      </c>
      <c r="D2391" s="12">
        <v>4.75</v>
      </c>
      <c r="E2391" s="12">
        <v>0.34</v>
      </c>
      <c r="F2391" s="12">
        <v>50.0</v>
      </c>
      <c r="G2391" s="13">
        <v>44462.848470173616</v>
      </c>
      <c r="H2391" s="14">
        <f>IFERROR(__xludf.DUMMYFUNCTION("SPLIT(G2391, "", "")"),44462.0)</f>
        <v>44462</v>
      </c>
      <c r="I2391" s="15">
        <f>IFERROR(__xludf.DUMMYFUNCTION("""COMPUTED_VALUE"""),0.8484722222222222)</f>
        <v>0.8484722222</v>
      </c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  <c r="AA2391" s="9"/>
    </row>
    <row r="2392">
      <c r="A2392" s="12">
        <v>0.13</v>
      </c>
      <c r="B2392" s="12">
        <v>231.9</v>
      </c>
      <c r="C2392" s="12">
        <v>10.2</v>
      </c>
      <c r="D2392" s="12">
        <v>4.75</v>
      </c>
      <c r="E2392" s="12">
        <v>0.35</v>
      </c>
      <c r="F2392" s="12">
        <v>50.0</v>
      </c>
      <c r="G2392" s="13">
        <v>44462.848575219905</v>
      </c>
      <c r="H2392" s="14">
        <f>IFERROR(__xludf.DUMMYFUNCTION("SPLIT(G2392, "", "")"),44462.0)</f>
        <v>44462</v>
      </c>
      <c r="I2392" s="15">
        <f>IFERROR(__xludf.DUMMYFUNCTION("""COMPUTED_VALUE"""),0.8485763888888889)</f>
        <v>0.8485763889</v>
      </c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  <c r="AA2392" s="9"/>
    </row>
    <row r="2393">
      <c r="A2393" s="12">
        <v>0.13</v>
      </c>
      <c r="B2393" s="12">
        <v>231.9</v>
      </c>
      <c r="C2393" s="12">
        <v>10.1</v>
      </c>
      <c r="D2393" s="12">
        <v>4.75</v>
      </c>
      <c r="E2393" s="12">
        <v>0.34</v>
      </c>
      <c r="F2393" s="12">
        <v>50.0</v>
      </c>
      <c r="G2393" s="13">
        <v>44462.848678449074</v>
      </c>
      <c r="H2393" s="14">
        <f>IFERROR(__xludf.DUMMYFUNCTION("SPLIT(G2393, "", "")"),44462.0)</f>
        <v>44462</v>
      </c>
      <c r="I2393" s="15">
        <f>IFERROR(__xludf.DUMMYFUNCTION("""COMPUTED_VALUE"""),0.8486805555555555)</f>
        <v>0.8486805556</v>
      </c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  <c r="AA2393" s="9"/>
    </row>
    <row r="2394">
      <c r="A2394" s="12">
        <v>0.13</v>
      </c>
      <c r="B2394" s="12">
        <v>231.9</v>
      </c>
      <c r="C2394" s="12">
        <v>10.1</v>
      </c>
      <c r="D2394" s="12">
        <v>4.75</v>
      </c>
      <c r="E2394" s="12">
        <v>0.34</v>
      </c>
      <c r="F2394" s="12">
        <v>50.0</v>
      </c>
      <c r="G2394" s="13">
        <v>44462.84878322917</v>
      </c>
      <c r="H2394" s="14">
        <f>IFERROR(__xludf.DUMMYFUNCTION("SPLIT(G2394, "", "")"),44462.0)</f>
        <v>44462</v>
      </c>
      <c r="I2394" s="15">
        <f>IFERROR(__xludf.DUMMYFUNCTION("""COMPUTED_VALUE"""),0.8487847222222222)</f>
        <v>0.8487847222</v>
      </c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  <c r="AA2394" s="9"/>
    </row>
    <row r="2395">
      <c r="A2395" s="12">
        <v>0.13</v>
      </c>
      <c r="B2395" s="12">
        <v>231.7</v>
      </c>
      <c r="C2395" s="12">
        <v>9.9</v>
      </c>
      <c r="D2395" s="12">
        <v>4.75</v>
      </c>
      <c r="E2395" s="12">
        <v>0.34</v>
      </c>
      <c r="F2395" s="12">
        <v>50.0</v>
      </c>
      <c r="G2395" s="13">
        <v>44462.84889346064</v>
      </c>
      <c r="H2395" s="14">
        <f>IFERROR(__xludf.DUMMYFUNCTION("SPLIT(G2395, "", "")"),44462.0)</f>
        <v>44462</v>
      </c>
      <c r="I2395" s="15">
        <f>IFERROR(__xludf.DUMMYFUNCTION("""COMPUTED_VALUE"""),0.8488888888888889)</f>
        <v>0.8488888889</v>
      </c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  <c r="AA2395" s="9"/>
    </row>
    <row r="2396">
      <c r="A2396" s="12">
        <v>0.13</v>
      </c>
      <c r="B2396" s="12">
        <v>230.9</v>
      </c>
      <c r="C2396" s="12">
        <v>9.9</v>
      </c>
      <c r="D2396" s="12">
        <v>4.75</v>
      </c>
      <c r="E2396" s="12">
        <v>0.34</v>
      </c>
      <c r="F2396" s="12">
        <v>50.0</v>
      </c>
      <c r="G2396" s="13">
        <v>44462.84899914352</v>
      </c>
      <c r="H2396" s="14">
        <f>IFERROR(__xludf.DUMMYFUNCTION("SPLIT(G2396, "", "")"),44462.0)</f>
        <v>44462</v>
      </c>
      <c r="I2396" s="15">
        <f>IFERROR(__xludf.DUMMYFUNCTION("""COMPUTED_VALUE"""),0.8490046296296296)</f>
        <v>0.8490046296</v>
      </c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  <c r="AA2396" s="9"/>
    </row>
    <row r="2397">
      <c r="A2397" s="12">
        <v>0.13</v>
      </c>
      <c r="B2397" s="12">
        <v>230.9</v>
      </c>
      <c r="C2397" s="12">
        <v>9.9</v>
      </c>
      <c r="D2397" s="12">
        <v>4.75</v>
      </c>
      <c r="E2397" s="12">
        <v>0.34</v>
      </c>
      <c r="F2397" s="12">
        <v>50.0</v>
      </c>
      <c r="G2397" s="13">
        <v>44462.84910057871</v>
      </c>
      <c r="H2397" s="14">
        <f>IFERROR(__xludf.DUMMYFUNCTION("SPLIT(G2397, "", "")"),44462.0)</f>
        <v>44462</v>
      </c>
      <c r="I2397" s="15">
        <f>IFERROR(__xludf.DUMMYFUNCTION("""COMPUTED_VALUE"""),0.8490972222222222)</f>
        <v>0.8490972222</v>
      </c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</row>
    <row r="2398">
      <c r="A2398" s="12">
        <v>0.13</v>
      </c>
      <c r="B2398" s="12">
        <v>231.0</v>
      </c>
      <c r="C2398" s="12">
        <v>9.9</v>
      </c>
      <c r="D2398" s="12">
        <v>4.75</v>
      </c>
      <c r="E2398" s="12">
        <v>0.34</v>
      </c>
      <c r="F2398" s="12">
        <v>50.0</v>
      </c>
      <c r="G2398" s="13">
        <v>44462.84920519676</v>
      </c>
      <c r="H2398" s="14">
        <f>IFERROR(__xludf.DUMMYFUNCTION("SPLIT(G2398, "", "")"),44462.0)</f>
        <v>44462</v>
      </c>
      <c r="I2398" s="15">
        <f>IFERROR(__xludf.DUMMYFUNCTION("""COMPUTED_VALUE"""),0.8492013888888889)</f>
        <v>0.8492013889</v>
      </c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</row>
    <row r="2399">
      <c r="A2399" s="12">
        <v>0.13</v>
      </c>
      <c r="B2399" s="12">
        <v>231.0</v>
      </c>
      <c r="C2399" s="12">
        <v>9.9</v>
      </c>
      <c r="D2399" s="12">
        <v>4.75</v>
      </c>
      <c r="E2399" s="12">
        <v>0.34</v>
      </c>
      <c r="F2399" s="12">
        <v>50.0</v>
      </c>
      <c r="G2399" s="13">
        <v>44462.84931538194</v>
      </c>
      <c r="H2399" s="14">
        <f>IFERROR(__xludf.DUMMYFUNCTION("SPLIT(G2399, "", "")"),44462.0)</f>
        <v>44462</v>
      </c>
      <c r="I2399" s="15">
        <f>IFERROR(__xludf.DUMMYFUNCTION("""COMPUTED_VALUE"""),0.8493171296296296)</f>
        <v>0.8493171296</v>
      </c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</row>
    <row r="2400">
      <c r="A2400" s="12">
        <v>0.13</v>
      </c>
      <c r="B2400" s="12">
        <v>230.8</v>
      </c>
      <c r="C2400" s="12">
        <v>9.8</v>
      </c>
      <c r="D2400" s="12">
        <v>4.75</v>
      </c>
      <c r="E2400" s="12">
        <v>0.34</v>
      </c>
      <c r="F2400" s="12">
        <v>50.0</v>
      </c>
      <c r="G2400" s="13">
        <v>44462.84942724537</v>
      </c>
      <c r="H2400" s="14">
        <f>IFERROR(__xludf.DUMMYFUNCTION("SPLIT(G2400, "", "")"),44462.0)</f>
        <v>44462</v>
      </c>
      <c r="I2400" s="15">
        <f>IFERROR(__xludf.DUMMYFUNCTION("""COMPUTED_VALUE"""),0.8494328703703704)</f>
        <v>0.8494328704</v>
      </c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</row>
    <row r="2401">
      <c r="A2401" s="12">
        <v>0.13</v>
      </c>
      <c r="B2401" s="12">
        <v>230.9</v>
      </c>
      <c r="C2401" s="12">
        <v>9.8</v>
      </c>
      <c r="D2401" s="12">
        <v>4.75</v>
      </c>
      <c r="E2401" s="12">
        <v>0.34</v>
      </c>
      <c r="F2401" s="12">
        <v>50.0</v>
      </c>
      <c r="G2401" s="13">
        <v>44462.849529803236</v>
      </c>
      <c r="H2401" s="14">
        <f>IFERROR(__xludf.DUMMYFUNCTION("SPLIT(G2401, "", "")"),44462.0)</f>
        <v>44462</v>
      </c>
      <c r="I2401" s="15">
        <f>IFERROR(__xludf.DUMMYFUNCTION("""COMPUTED_VALUE"""),0.8495254629629629)</f>
        <v>0.849525463</v>
      </c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</row>
    <row r="2402">
      <c r="A2402" s="12">
        <v>0.13</v>
      </c>
      <c r="B2402" s="12">
        <v>231.1</v>
      </c>
      <c r="C2402" s="12">
        <v>9.9</v>
      </c>
      <c r="D2402" s="12">
        <v>4.75</v>
      </c>
      <c r="E2402" s="12">
        <v>0.34</v>
      </c>
      <c r="F2402" s="12">
        <v>50.0</v>
      </c>
      <c r="G2402" s="13">
        <v>44462.849632303245</v>
      </c>
      <c r="H2402" s="14">
        <f>IFERROR(__xludf.DUMMYFUNCTION("SPLIT(G2402, "", "")"),44462.0)</f>
        <v>44462</v>
      </c>
      <c r="I2402" s="15">
        <f>IFERROR(__xludf.DUMMYFUNCTION("""COMPUTED_VALUE"""),0.8496296296296296)</f>
        <v>0.8496296296</v>
      </c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  <c r="AA2402" s="9"/>
    </row>
    <row r="2403">
      <c r="A2403" s="12">
        <v>0.13</v>
      </c>
      <c r="B2403" s="12">
        <v>231.1</v>
      </c>
      <c r="C2403" s="12">
        <v>9.9</v>
      </c>
      <c r="D2403" s="12">
        <v>4.76</v>
      </c>
      <c r="E2403" s="12">
        <v>0.33</v>
      </c>
      <c r="F2403" s="12">
        <v>50.0</v>
      </c>
      <c r="G2403" s="13">
        <v>44462.84973640046</v>
      </c>
      <c r="H2403" s="14">
        <f>IFERROR(__xludf.DUMMYFUNCTION("SPLIT(G2403, "", "")"),44462.0)</f>
        <v>44462</v>
      </c>
      <c r="I2403" s="15">
        <f>IFERROR(__xludf.DUMMYFUNCTION("""COMPUTED_VALUE"""),0.8497337962962963)</f>
        <v>0.8497337963</v>
      </c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/>
    </row>
    <row r="2404">
      <c r="A2404" s="12">
        <v>0.13</v>
      </c>
      <c r="B2404" s="12">
        <v>231.0</v>
      </c>
      <c r="C2404" s="12">
        <v>9.9</v>
      </c>
      <c r="D2404" s="12">
        <v>4.76</v>
      </c>
      <c r="E2404" s="12">
        <v>0.34</v>
      </c>
      <c r="F2404" s="12">
        <v>50.0</v>
      </c>
      <c r="G2404" s="13">
        <v>44462.84984520833</v>
      </c>
      <c r="H2404" s="14">
        <f>IFERROR(__xludf.DUMMYFUNCTION("SPLIT(G2404, "", "")"),44462.0)</f>
        <v>44462</v>
      </c>
      <c r="I2404" s="15">
        <f>IFERROR(__xludf.DUMMYFUNCTION("""COMPUTED_VALUE"""),0.849849537037037)</f>
        <v>0.849849537</v>
      </c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  <c r="AA2404" s="9"/>
    </row>
    <row r="2405">
      <c r="A2405" s="12">
        <v>0.12</v>
      </c>
      <c r="B2405" s="12">
        <v>231.0</v>
      </c>
      <c r="C2405" s="12">
        <v>9.9</v>
      </c>
      <c r="D2405" s="12">
        <v>4.76</v>
      </c>
      <c r="E2405" s="12">
        <v>0.35</v>
      </c>
      <c r="F2405" s="12">
        <v>50.0</v>
      </c>
      <c r="G2405" s="13">
        <v>44462.84994785879</v>
      </c>
      <c r="H2405" s="14">
        <f>IFERROR(__xludf.DUMMYFUNCTION("SPLIT(G2405, "", "")"),44462.0)</f>
        <v>44462</v>
      </c>
      <c r="I2405" s="15">
        <f>IFERROR(__xludf.DUMMYFUNCTION("""COMPUTED_VALUE"""),0.8499421296296297)</f>
        <v>0.8499421296</v>
      </c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  <c r="AA2405" s="9"/>
    </row>
    <row r="2406">
      <c r="A2406" s="12">
        <v>0.13</v>
      </c>
      <c r="B2406" s="12">
        <v>231.0</v>
      </c>
      <c r="C2406" s="12">
        <v>9.9</v>
      </c>
      <c r="D2406" s="12">
        <v>4.76</v>
      </c>
      <c r="E2406" s="12">
        <v>0.34</v>
      </c>
      <c r="F2406" s="12">
        <v>50.0</v>
      </c>
      <c r="G2406" s="13">
        <v>44462.85004761574</v>
      </c>
      <c r="H2406" s="14">
        <f>IFERROR(__xludf.DUMMYFUNCTION("SPLIT(G2406, "", "")"),44462.0)</f>
        <v>44462</v>
      </c>
      <c r="I2406" s="15">
        <f>IFERROR(__xludf.DUMMYFUNCTION("""COMPUTED_VALUE"""),0.8500462962962962)</f>
        <v>0.8500462963</v>
      </c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</row>
    <row r="2407">
      <c r="A2407" s="12">
        <v>0.13</v>
      </c>
      <c r="B2407" s="12">
        <v>231.0</v>
      </c>
      <c r="C2407" s="12">
        <v>9.8</v>
      </c>
      <c r="D2407" s="12">
        <v>4.76</v>
      </c>
      <c r="E2407" s="12">
        <v>0.34</v>
      </c>
      <c r="F2407" s="12">
        <v>50.0</v>
      </c>
      <c r="G2407" s="13">
        <v>44462.85014755787</v>
      </c>
      <c r="H2407" s="14">
        <f>IFERROR(__xludf.DUMMYFUNCTION("SPLIT(G2407, "", "")"),44462.0)</f>
        <v>44462</v>
      </c>
      <c r="I2407" s="15">
        <f>IFERROR(__xludf.DUMMYFUNCTION("""COMPUTED_VALUE"""),0.8501504629629629)</f>
        <v>0.850150463</v>
      </c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  <c r="AA2407" s="9"/>
    </row>
    <row r="2408">
      <c r="A2408" s="12">
        <v>0.13</v>
      </c>
      <c r="B2408" s="12">
        <v>230.8</v>
      </c>
      <c r="C2408" s="12">
        <v>9.8</v>
      </c>
      <c r="D2408" s="12">
        <v>4.76</v>
      </c>
      <c r="E2408" s="12">
        <v>0.34</v>
      </c>
      <c r="F2408" s="12">
        <v>50.0</v>
      </c>
      <c r="G2408" s="13">
        <v>44462.85024861111</v>
      </c>
      <c r="H2408" s="14">
        <f>IFERROR(__xludf.DUMMYFUNCTION("SPLIT(G2408, "", "")"),44462.0)</f>
        <v>44462</v>
      </c>
      <c r="I2408" s="15">
        <f>IFERROR(__xludf.DUMMYFUNCTION("""COMPUTED_VALUE"""),0.8502430555555556)</f>
        <v>0.8502430556</v>
      </c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  <c r="AA2408" s="9"/>
    </row>
    <row r="2409">
      <c r="A2409" s="12">
        <v>0.13</v>
      </c>
      <c r="B2409" s="12">
        <v>230.8</v>
      </c>
      <c r="C2409" s="12">
        <v>9.8</v>
      </c>
      <c r="D2409" s="12">
        <v>4.76</v>
      </c>
      <c r="E2409" s="12">
        <v>0.33</v>
      </c>
      <c r="F2409" s="12">
        <v>50.0</v>
      </c>
      <c r="G2409" s="13">
        <v>44462.85034415509</v>
      </c>
      <c r="H2409" s="14">
        <f>IFERROR(__xludf.DUMMYFUNCTION("SPLIT(G2409, "", "")"),44462.0)</f>
        <v>44462</v>
      </c>
      <c r="I2409" s="15">
        <f>IFERROR(__xludf.DUMMYFUNCTION("""COMPUTED_VALUE"""),0.8503472222222223)</f>
        <v>0.8503472222</v>
      </c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</row>
    <row r="2410">
      <c r="A2410" s="12">
        <v>0.12</v>
      </c>
      <c r="B2410" s="12">
        <v>230.7</v>
      </c>
      <c r="C2410" s="12">
        <v>9.8</v>
      </c>
      <c r="D2410" s="12">
        <v>4.76</v>
      </c>
      <c r="E2410" s="12">
        <v>0.34</v>
      </c>
      <c r="F2410" s="12">
        <v>50.0</v>
      </c>
      <c r="G2410" s="13">
        <v>44462.850439814814</v>
      </c>
      <c r="H2410" s="14">
        <f>IFERROR(__xludf.DUMMYFUNCTION("SPLIT(G2410, "", "")"),44462.0)</f>
        <v>44462</v>
      </c>
      <c r="I2410" s="15">
        <f>IFERROR(__xludf.DUMMYFUNCTION("""COMPUTED_VALUE"""),0.8504398148148148)</f>
        <v>0.8504398148</v>
      </c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</row>
    <row r="2411">
      <c r="A2411" s="12">
        <v>0.13</v>
      </c>
      <c r="B2411" s="12">
        <v>230.8</v>
      </c>
      <c r="C2411" s="12">
        <v>9.8</v>
      </c>
      <c r="D2411" s="12">
        <v>4.76</v>
      </c>
      <c r="E2411" s="12">
        <v>0.34</v>
      </c>
      <c r="F2411" s="12">
        <v>50.0</v>
      </c>
      <c r="G2411" s="13">
        <v>44462.850542835644</v>
      </c>
      <c r="H2411" s="14">
        <f>IFERROR(__xludf.DUMMYFUNCTION("SPLIT(G2411, "", "")"),44462.0)</f>
        <v>44462</v>
      </c>
      <c r="I2411" s="15">
        <f>IFERROR(__xludf.DUMMYFUNCTION("""COMPUTED_VALUE"""),0.8505439814814815)</f>
        <v>0.8505439815</v>
      </c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</row>
    <row r="2412">
      <c r="A2412" s="12">
        <v>0.13</v>
      </c>
      <c r="B2412" s="12">
        <v>230.9</v>
      </c>
      <c r="C2412" s="12">
        <v>9.7</v>
      </c>
      <c r="D2412" s="12">
        <v>4.76</v>
      </c>
      <c r="E2412" s="12">
        <v>0.33</v>
      </c>
      <c r="F2412" s="12">
        <v>50.0</v>
      </c>
      <c r="G2412" s="13">
        <v>44462.85064391204</v>
      </c>
      <c r="H2412" s="14">
        <f>IFERROR(__xludf.DUMMYFUNCTION("SPLIT(G2412, "", "")"),44462.0)</f>
        <v>44462</v>
      </c>
      <c r="I2412" s="15">
        <f>IFERROR(__xludf.DUMMYFUNCTION("""COMPUTED_VALUE"""),0.8506481481481482)</f>
        <v>0.8506481481</v>
      </c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</row>
    <row r="2413">
      <c r="A2413" s="12">
        <v>0.13</v>
      </c>
      <c r="B2413" s="12">
        <v>230.9</v>
      </c>
      <c r="C2413" s="12">
        <v>9.8</v>
      </c>
      <c r="D2413" s="12">
        <v>4.76</v>
      </c>
      <c r="E2413" s="12">
        <v>0.34</v>
      </c>
      <c r="F2413" s="12">
        <v>50.0</v>
      </c>
      <c r="G2413" s="13">
        <v>44462.85074944445</v>
      </c>
      <c r="H2413" s="14">
        <f>IFERROR(__xludf.DUMMYFUNCTION("SPLIT(G2413, "", "")"),44462.0)</f>
        <v>44462</v>
      </c>
      <c r="I2413" s="15">
        <f>IFERROR(__xludf.DUMMYFUNCTION("""COMPUTED_VALUE"""),0.8507523148148148)</f>
        <v>0.8507523148</v>
      </c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</row>
    <row r="2414">
      <c r="A2414" s="12">
        <v>0.13</v>
      </c>
      <c r="B2414" s="12">
        <v>230.9</v>
      </c>
      <c r="C2414" s="12">
        <v>9.8</v>
      </c>
      <c r="D2414" s="12">
        <v>4.76</v>
      </c>
      <c r="E2414" s="12">
        <v>0.34</v>
      </c>
      <c r="F2414" s="12">
        <v>50.0</v>
      </c>
      <c r="G2414" s="13">
        <v>44462.85084914352</v>
      </c>
      <c r="H2414" s="14">
        <f>IFERROR(__xludf.DUMMYFUNCTION("SPLIT(G2414, "", "")"),44462.0)</f>
        <v>44462</v>
      </c>
      <c r="I2414" s="15">
        <f>IFERROR(__xludf.DUMMYFUNCTION("""COMPUTED_VALUE"""),0.8508449074074074)</f>
        <v>0.8508449074</v>
      </c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</row>
    <row r="2415">
      <c r="A2415" s="12">
        <v>0.13</v>
      </c>
      <c r="B2415" s="12">
        <v>230.8</v>
      </c>
      <c r="C2415" s="12">
        <v>9.8</v>
      </c>
      <c r="D2415" s="12">
        <v>4.76</v>
      </c>
      <c r="E2415" s="12">
        <v>0.34</v>
      </c>
      <c r="F2415" s="12">
        <v>50.0</v>
      </c>
      <c r="G2415" s="13">
        <v>44462.8509484838</v>
      </c>
      <c r="H2415" s="14">
        <f>IFERROR(__xludf.DUMMYFUNCTION("SPLIT(G2415, "", "")"),44462.0)</f>
        <v>44462</v>
      </c>
      <c r="I2415" s="15">
        <f>IFERROR(__xludf.DUMMYFUNCTION("""COMPUTED_VALUE"""),0.850949074074074)</f>
        <v>0.8509490741</v>
      </c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</row>
    <row r="2416">
      <c r="A2416" s="12">
        <v>0.13</v>
      </c>
      <c r="B2416" s="12">
        <v>230.9</v>
      </c>
      <c r="C2416" s="12">
        <v>9.8</v>
      </c>
      <c r="D2416" s="12">
        <v>4.76</v>
      </c>
      <c r="E2416" s="12">
        <v>0.34</v>
      </c>
      <c r="F2416" s="12">
        <v>50.0</v>
      </c>
      <c r="G2416" s="13">
        <v>44462.851046446754</v>
      </c>
      <c r="H2416" s="14">
        <f>IFERROR(__xludf.DUMMYFUNCTION("SPLIT(G2416, "", "")"),44462.0)</f>
        <v>44462</v>
      </c>
      <c r="I2416" s="15">
        <f>IFERROR(__xludf.DUMMYFUNCTION("""COMPUTED_VALUE"""),0.8510416666666667)</f>
        <v>0.8510416667</v>
      </c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</row>
    <row r="2417">
      <c r="A2417" s="12">
        <v>0.12</v>
      </c>
      <c r="B2417" s="12">
        <v>231.0</v>
      </c>
      <c r="C2417" s="12">
        <v>9.7</v>
      </c>
      <c r="D2417" s="12">
        <v>4.76</v>
      </c>
      <c r="E2417" s="12">
        <v>0.34</v>
      </c>
      <c r="F2417" s="12">
        <v>50.0</v>
      </c>
      <c r="G2417" s="13">
        <v>44462.85114297454</v>
      </c>
      <c r="H2417" s="14">
        <f>IFERROR(__xludf.DUMMYFUNCTION("SPLIT(G2417, "", "")"),44462.0)</f>
        <v>44462</v>
      </c>
      <c r="I2417" s="15">
        <f>IFERROR(__xludf.DUMMYFUNCTION("""COMPUTED_VALUE"""),0.8511458333333334)</f>
        <v>0.8511458333</v>
      </c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</row>
    <row r="2418">
      <c r="A2418" s="12">
        <v>0.13</v>
      </c>
      <c r="B2418" s="12">
        <v>231.1</v>
      </c>
      <c r="C2418" s="12">
        <v>9.8</v>
      </c>
      <c r="D2418" s="12">
        <v>4.76</v>
      </c>
      <c r="E2418" s="12">
        <v>0.34</v>
      </c>
      <c r="F2418" s="12">
        <v>50.0</v>
      </c>
      <c r="G2418" s="13">
        <v>44462.851239930555</v>
      </c>
      <c r="H2418" s="14">
        <f>IFERROR(__xludf.DUMMYFUNCTION("SPLIT(G2418, "", "")"),44462.0)</f>
        <v>44462</v>
      </c>
      <c r="I2418" s="15">
        <f>IFERROR(__xludf.DUMMYFUNCTION("""COMPUTED_VALUE"""),0.8512384259259259)</f>
        <v>0.8512384259</v>
      </c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</row>
    <row r="2419">
      <c r="A2419" s="12">
        <v>0.13</v>
      </c>
      <c r="B2419" s="12">
        <v>231.1</v>
      </c>
      <c r="C2419" s="12">
        <v>9.8</v>
      </c>
      <c r="D2419" s="12">
        <v>4.76</v>
      </c>
      <c r="E2419" s="12">
        <v>0.34</v>
      </c>
      <c r="F2419" s="12">
        <v>50.0</v>
      </c>
      <c r="G2419" s="13">
        <v>44462.8513383449</v>
      </c>
      <c r="H2419" s="14">
        <f>IFERROR(__xludf.DUMMYFUNCTION("SPLIT(G2419, "", "")"),44462.0)</f>
        <v>44462</v>
      </c>
      <c r="I2419" s="15">
        <f>IFERROR(__xludf.DUMMYFUNCTION("""COMPUTED_VALUE"""),0.8513425925925926)</f>
        <v>0.8513425926</v>
      </c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  <c r="AA2419" s="9"/>
    </row>
    <row r="2420">
      <c r="A2420" s="12">
        <v>0.12</v>
      </c>
      <c r="B2420" s="12">
        <v>231.2</v>
      </c>
      <c r="C2420" s="12">
        <v>9.8</v>
      </c>
      <c r="D2420" s="12">
        <v>4.76</v>
      </c>
      <c r="E2420" s="12">
        <v>0.34</v>
      </c>
      <c r="F2420" s="12">
        <v>50.0</v>
      </c>
      <c r="G2420" s="13">
        <v>44462.851438495374</v>
      </c>
      <c r="H2420" s="14">
        <f>IFERROR(__xludf.DUMMYFUNCTION("SPLIT(G2420, "", "")"),44462.0)</f>
        <v>44462</v>
      </c>
      <c r="I2420" s="15">
        <f>IFERROR(__xludf.DUMMYFUNCTION("""COMPUTED_VALUE"""),0.8514351851851852)</f>
        <v>0.8514351852</v>
      </c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</row>
    <row r="2421">
      <c r="A2421" s="12">
        <v>0.12</v>
      </c>
      <c r="B2421" s="12">
        <v>231.0</v>
      </c>
      <c r="C2421" s="12">
        <v>9.8</v>
      </c>
      <c r="D2421" s="12">
        <v>4.76</v>
      </c>
      <c r="E2421" s="12">
        <v>0.34</v>
      </c>
      <c r="F2421" s="12">
        <v>50.0</v>
      </c>
      <c r="G2421" s="13">
        <v>44462.85154474537</v>
      </c>
      <c r="H2421" s="14">
        <f>IFERROR(__xludf.DUMMYFUNCTION("SPLIT(G2421, "", "")"),44462.0)</f>
        <v>44462</v>
      </c>
      <c r="I2421" s="15">
        <f>IFERROR(__xludf.DUMMYFUNCTION("""COMPUTED_VALUE"""),0.8515393518518518)</f>
        <v>0.8515393519</v>
      </c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  <c r="AA2421" s="9"/>
    </row>
    <row r="2422">
      <c r="A2422" s="12">
        <v>0.12</v>
      </c>
      <c r="B2422" s="12">
        <v>231.1</v>
      </c>
      <c r="C2422" s="12">
        <v>9.7</v>
      </c>
      <c r="D2422" s="12">
        <v>4.76</v>
      </c>
      <c r="E2422" s="12">
        <v>0.34</v>
      </c>
      <c r="F2422" s="12">
        <v>50.0</v>
      </c>
      <c r="G2422" s="13">
        <v>44462.85164890046</v>
      </c>
      <c r="H2422" s="14">
        <f>IFERROR(__xludf.DUMMYFUNCTION("SPLIT(G2422, "", "")"),44462.0)</f>
        <v>44462</v>
      </c>
      <c r="I2422" s="15">
        <f>IFERROR(__xludf.DUMMYFUNCTION("""COMPUTED_VALUE"""),0.8516435185185185)</f>
        <v>0.8516435185</v>
      </c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  <c r="AA2422" s="9"/>
    </row>
    <row r="2423">
      <c r="A2423" s="12">
        <v>0.13</v>
      </c>
      <c r="B2423" s="12">
        <v>231.1</v>
      </c>
      <c r="C2423" s="12">
        <v>9.7</v>
      </c>
      <c r="D2423" s="12">
        <v>4.76</v>
      </c>
      <c r="E2423" s="12">
        <v>0.34</v>
      </c>
      <c r="F2423" s="12">
        <v>50.0</v>
      </c>
      <c r="G2423" s="13">
        <v>44462.85175053241</v>
      </c>
      <c r="H2423" s="14">
        <f>IFERROR(__xludf.DUMMYFUNCTION("SPLIT(G2423, "", "")"),44462.0)</f>
        <v>44462</v>
      </c>
      <c r="I2423" s="15">
        <f>IFERROR(__xludf.DUMMYFUNCTION("""COMPUTED_VALUE"""),0.8517476851851852)</f>
        <v>0.8517476852</v>
      </c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  <c r="AA2423" s="9"/>
    </row>
    <row r="2424">
      <c r="A2424" s="12">
        <v>0.12</v>
      </c>
      <c r="B2424" s="12">
        <v>231.1</v>
      </c>
      <c r="C2424" s="12">
        <v>9.7</v>
      </c>
      <c r="D2424" s="12">
        <v>4.76</v>
      </c>
      <c r="E2424" s="12">
        <v>0.34</v>
      </c>
      <c r="F2424" s="12">
        <v>50.0</v>
      </c>
      <c r="G2424" s="13">
        <v>44462.85185771991</v>
      </c>
      <c r="H2424" s="14">
        <f>IFERROR(__xludf.DUMMYFUNCTION("SPLIT(G2424, "", "")"),44462.0)</f>
        <v>44462</v>
      </c>
      <c r="I2424" s="15">
        <f>IFERROR(__xludf.DUMMYFUNCTION("""COMPUTED_VALUE"""),0.8518634259259259)</f>
        <v>0.8518634259</v>
      </c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  <c r="AA2424" s="9"/>
    </row>
    <row r="2425">
      <c r="A2425" s="12">
        <v>0.13</v>
      </c>
      <c r="B2425" s="12">
        <v>231.0</v>
      </c>
      <c r="C2425" s="12">
        <v>9.7</v>
      </c>
      <c r="D2425" s="12">
        <v>4.76</v>
      </c>
      <c r="E2425" s="12">
        <v>0.33</v>
      </c>
      <c r="F2425" s="12">
        <v>50.0</v>
      </c>
      <c r="G2425" s="13">
        <v>44462.851959884254</v>
      </c>
      <c r="H2425" s="14">
        <f>IFERROR(__xludf.DUMMYFUNCTION("SPLIT(G2425, "", "")"),44462.0)</f>
        <v>44462</v>
      </c>
      <c r="I2425" s="15">
        <f>IFERROR(__xludf.DUMMYFUNCTION("""COMPUTED_VALUE"""),0.8519560185185185)</f>
        <v>0.8519560185</v>
      </c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  <c r="AA2425" s="9"/>
    </row>
    <row r="2426">
      <c r="A2426" s="12">
        <v>0.13</v>
      </c>
      <c r="B2426" s="12">
        <v>231.0</v>
      </c>
      <c r="C2426" s="12">
        <v>9.8</v>
      </c>
      <c r="D2426" s="12">
        <v>4.76</v>
      </c>
      <c r="E2426" s="12">
        <v>0.34</v>
      </c>
      <c r="F2426" s="12">
        <v>50.0</v>
      </c>
      <c r="G2426" s="13">
        <v>44462.85205769676</v>
      </c>
      <c r="H2426" s="14">
        <f>IFERROR(__xludf.DUMMYFUNCTION("SPLIT(G2426, "", "")"),44462.0)</f>
        <v>44462</v>
      </c>
      <c r="I2426" s="15">
        <f>IFERROR(__xludf.DUMMYFUNCTION("""COMPUTED_VALUE"""),0.8520601851851852)</f>
        <v>0.8520601852</v>
      </c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  <c r="AA2426" s="9"/>
    </row>
    <row r="2427">
      <c r="A2427" s="12">
        <v>0.13</v>
      </c>
      <c r="B2427" s="12">
        <v>231.7</v>
      </c>
      <c r="C2427" s="12">
        <v>9.9</v>
      </c>
      <c r="D2427" s="12">
        <v>4.76</v>
      </c>
      <c r="E2427" s="12">
        <v>0.34</v>
      </c>
      <c r="F2427" s="12">
        <v>50.0</v>
      </c>
      <c r="G2427" s="13">
        <v>44462.852232916666</v>
      </c>
      <c r="H2427" s="14">
        <f>IFERROR(__xludf.DUMMYFUNCTION("SPLIT(G2427, "", "")"),44462.0)</f>
        <v>44462</v>
      </c>
      <c r="I2427" s="15">
        <f>IFERROR(__xludf.DUMMYFUNCTION("""COMPUTED_VALUE"""),0.8522337962962963)</f>
        <v>0.8522337963</v>
      </c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  <c r="AA2427" s="9"/>
    </row>
    <row r="2428">
      <c r="A2428" s="12">
        <v>0.13</v>
      </c>
      <c r="B2428" s="12">
        <v>232.0</v>
      </c>
      <c r="C2428" s="12">
        <v>9.9</v>
      </c>
      <c r="D2428" s="12">
        <v>4.76</v>
      </c>
      <c r="E2428" s="12">
        <v>0.34</v>
      </c>
      <c r="F2428" s="12">
        <v>50.0</v>
      </c>
      <c r="G2428" s="13">
        <v>44462.85234054398</v>
      </c>
      <c r="H2428" s="14">
        <f>IFERROR(__xludf.DUMMYFUNCTION("SPLIT(G2428, "", "")"),44462.0)</f>
        <v>44462</v>
      </c>
      <c r="I2428" s="15">
        <f>IFERROR(__xludf.DUMMYFUNCTION("""COMPUTED_VALUE"""),0.8523379629629629)</f>
        <v>0.852337963</v>
      </c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  <c r="AA2428" s="9"/>
    </row>
    <row r="2429">
      <c r="A2429" s="12">
        <v>0.13</v>
      </c>
      <c r="B2429" s="12">
        <v>232.0</v>
      </c>
      <c r="C2429" s="12">
        <v>9.9</v>
      </c>
      <c r="D2429" s="12">
        <v>4.76</v>
      </c>
      <c r="E2429" s="12">
        <v>0.34</v>
      </c>
      <c r="F2429" s="12">
        <v>50.0</v>
      </c>
      <c r="G2429" s="13">
        <v>44462.85243767361</v>
      </c>
      <c r="H2429" s="14">
        <f>IFERROR(__xludf.DUMMYFUNCTION("SPLIT(G2429, "", "")"),44462.0)</f>
        <v>44462</v>
      </c>
      <c r="I2429" s="15">
        <f>IFERROR(__xludf.DUMMYFUNCTION("""COMPUTED_VALUE"""),0.8524421296296296)</f>
        <v>0.8524421296</v>
      </c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</row>
    <row r="2430">
      <c r="A2430" s="12">
        <v>0.13</v>
      </c>
      <c r="B2430" s="12">
        <v>231.9</v>
      </c>
      <c r="C2430" s="12">
        <v>9.9</v>
      </c>
      <c r="D2430" s="12">
        <v>4.76</v>
      </c>
      <c r="E2430" s="12">
        <v>0.34</v>
      </c>
      <c r="F2430" s="12">
        <v>50.0</v>
      </c>
      <c r="G2430" s="13">
        <v>44462.85253956019</v>
      </c>
      <c r="H2430" s="14">
        <f>IFERROR(__xludf.DUMMYFUNCTION("SPLIT(G2430, "", "")"),44462.0)</f>
        <v>44462</v>
      </c>
      <c r="I2430" s="15">
        <f>IFERROR(__xludf.DUMMYFUNCTION("""COMPUTED_VALUE"""),0.8525347222222223)</f>
        <v>0.8525347222</v>
      </c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</row>
    <row r="2431">
      <c r="A2431" s="12">
        <v>0.13</v>
      </c>
      <c r="B2431" s="12">
        <v>231.9</v>
      </c>
      <c r="C2431" s="12">
        <v>9.9</v>
      </c>
      <c r="D2431" s="12">
        <v>4.76</v>
      </c>
      <c r="E2431" s="12">
        <v>0.34</v>
      </c>
      <c r="F2431" s="12">
        <v>50.0</v>
      </c>
      <c r="G2431" s="13">
        <v>44462.8526449537</v>
      </c>
      <c r="H2431" s="14">
        <f>IFERROR(__xludf.DUMMYFUNCTION("SPLIT(G2431, "", "")"),44462.0)</f>
        <v>44462</v>
      </c>
      <c r="I2431" s="15">
        <f>IFERROR(__xludf.DUMMYFUNCTION("""COMPUTED_VALUE"""),0.852650462962963)</f>
        <v>0.852650463</v>
      </c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</row>
    <row r="2432">
      <c r="A2432" s="12">
        <v>0.13</v>
      </c>
      <c r="B2432" s="12">
        <v>231.8</v>
      </c>
      <c r="C2432" s="12">
        <v>9.8</v>
      </c>
      <c r="D2432" s="12">
        <v>4.76</v>
      </c>
      <c r="E2432" s="12">
        <v>0.34</v>
      </c>
      <c r="F2432" s="12">
        <v>50.0</v>
      </c>
      <c r="G2432" s="13">
        <v>44462.852747048615</v>
      </c>
      <c r="H2432" s="14">
        <f>IFERROR(__xludf.DUMMYFUNCTION("SPLIT(G2432, "", "")"),44462.0)</f>
        <v>44462</v>
      </c>
      <c r="I2432" s="15">
        <f>IFERROR(__xludf.DUMMYFUNCTION("""COMPUTED_VALUE"""),0.8527430555555555)</f>
        <v>0.8527430556</v>
      </c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9"/>
    </row>
    <row r="2433">
      <c r="A2433" s="12">
        <v>0.13</v>
      </c>
      <c r="B2433" s="12">
        <v>231.6</v>
      </c>
      <c r="C2433" s="12">
        <v>9.8</v>
      </c>
      <c r="D2433" s="12">
        <v>4.76</v>
      </c>
      <c r="E2433" s="12">
        <v>0.34</v>
      </c>
      <c r="F2433" s="12">
        <v>50.0</v>
      </c>
      <c r="G2433" s="13">
        <v>44462.852844016204</v>
      </c>
      <c r="H2433" s="14">
        <f>IFERROR(__xludf.DUMMYFUNCTION("SPLIT(G2433, "", "")"),44462.0)</f>
        <v>44462</v>
      </c>
      <c r="I2433" s="15">
        <f>IFERROR(__xludf.DUMMYFUNCTION("""COMPUTED_VALUE"""),0.8528472222222222)</f>
        <v>0.8528472222</v>
      </c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  <c r="AA2433" s="9"/>
    </row>
    <row r="2434">
      <c r="A2434" s="12">
        <v>0.13</v>
      </c>
      <c r="B2434" s="12">
        <v>231.5</v>
      </c>
      <c r="C2434" s="12">
        <v>9.7</v>
      </c>
      <c r="D2434" s="12">
        <v>4.76</v>
      </c>
      <c r="E2434" s="12">
        <v>0.34</v>
      </c>
      <c r="F2434" s="12">
        <v>50.0</v>
      </c>
      <c r="G2434" s="13">
        <v>44462.8529430787</v>
      </c>
      <c r="H2434" s="14">
        <f>IFERROR(__xludf.DUMMYFUNCTION("SPLIT(G2434, "", "")"),44462.0)</f>
        <v>44462</v>
      </c>
      <c r="I2434" s="15">
        <f>IFERROR(__xludf.DUMMYFUNCTION("""COMPUTED_VALUE"""),0.8529398148148148)</f>
        <v>0.8529398148</v>
      </c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  <c r="AA2434" s="9"/>
    </row>
    <row r="2435">
      <c r="A2435" s="12">
        <v>0.12</v>
      </c>
      <c r="B2435" s="12">
        <v>231.6</v>
      </c>
      <c r="C2435" s="12">
        <v>9.7</v>
      </c>
      <c r="D2435" s="12">
        <v>4.76</v>
      </c>
      <c r="E2435" s="12">
        <v>0.34</v>
      </c>
      <c r="F2435" s="12">
        <v>50.0</v>
      </c>
      <c r="G2435" s="13">
        <v>44462.85304533565</v>
      </c>
      <c r="H2435" s="14">
        <f>IFERROR(__xludf.DUMMYFUNCTION("SPLIT(G2435, "", "")"),44462.0)</f>
        <v>44462</v>
      </c>
      <c r="I2435" s="15">
        <f>IFERROR(__xludf.DUMMYFUNCTION("""COMPUTED_VALUE"""),0.8530439814814815)</f>
        <v>0.8530439815</v>
      </c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  <c r="AA2435" s="9"/>
    </row>
    <row r="2436">
      <c r="A2436" s="12">
        <v>0.12</v>
      </c>
      <c r="B2436" s="12">
        <v>231.5</v>
      </c>
      <c r="C2436" s="12">
        <v>9.7</v>
      </c>
      <c r="D2436" s="12">
        <v>4.76</v>
      </c>
      <c r="E2436" s="12">
        <v>0.34</v>
      </c>
      <c r="F2436" s="12">
        <v>50.0</v>
      </c>
      <c r="G2436" s="13">
        <v>44462.85314626158</v>
      </c>
      <c r="H2436" s="14">
        <f>IFERROR(__xludf.DUMMYFUNCTION("SPLIT(G2436, "", "")"),44462.0)</f>
        <v>44462</v>
      </c>
      <c r="I2436" s="15">
        <f>IFERROR(__xludf.DUMMYFUNCTION("""COMPUTED_VALUE"""),0.8531481481481481)</f>
        <v>0.8531481481</v>
      </c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  <c r="AA2436" s="9"/>
    </row>
    <row r="2437">
      <c r="A2437" s="12">
        <v>0.12</v>
      </c>
      <c r="B2437" s="12">
        <v>231.5</v>
      </c>
      <c r="C2437" s="12">
        <v>9.7</v>
      </c>
      <c r="D2437" s="12">
        <v>4.76</v>
      </c>
      <c r="E2437" s="12">
        <v>0.34</v>
      </c>
      <c r="F2437" s="12">
        <v>49.9</v>
      </c>
      <c r="G2437" s="13">
        <v>44462.85325248842</v>
      </c>
      <c r="H2437" s="14">
        <f>IFERROR(__xludf.DUMMYFUNCTION("SPLIT(G2437, "", "")"),44462.0)</f>
        <v>44462</v>
      </c>
      <c r="I2437" s="15">
        <f>IFERROR(__xludf.DUMMYFUNCTION("""COMPUTED_VALUE"""),0.8532523148148148)</f>
        <v>0.8532523148</v>
      </c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  <c r="AA2437" s="9"/>
    </row>
    <row r="2438">
      <c r="A2438" s="12">
        <v>0.12</v>
      </c>
      <c r="B2438" s="12">
        <v>231.6</v>
      </c>
      <c r="C2438" s="12">
        <v>9.7</v>
      </c>
      <c r="D2438" s="12">
        <v>4.76</v>
      </c>
      <c r="E2438" s="12">
        <v>0.34</v>
      </c>
      <c r="F2438" s="12">
        <v>49.9</v>
      </c>
      <c r="G2438" s="13">
        <v>44462.85335127315</v>
      </c>
      <c r="H2438" s="14">
        <f>IFERROR(__xludf.DUMMYFUNCTION("SPLIT(G2438, "", "")"),44462.0)</f>
        <v>44462</v>
      </c>
      <c r="I2438" s="15">
        <f>IFERROR(__xludf.DUMMYFUNCTION("""COMPUTED_VALUE"""),0.8533564814814815)</f>
        <v>0.8533564815</v>
      </c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  <c r="AA2438" s="9"/>
    </row>
    <row r="2439">
      <c r="A2439" s="12">
        <v>0.12</v>
      </c>
      <c r="B2439" s="12">
        <v>231.5</v>
      </c>
      <c r="C2439" s="12">
        <v>9.7</v>
      </c>
      <c r="D2439" s="12">
        <v>4.76</v>
      </c>
      <c r="E2439" s="12">
        <v>0.34</v>
      </c>
      <c r="F2439" s="12">
        <v>49.9</v>
      </c>
      <c r="G2439" s="13">
        <v>44462.85345232639</v>
      </c>
      <c r="H2439" s="14">
        <f>IFERROR(__xludf.DUMMYFUNCTION("SPLIT(G2439, "", "")"),44462.0)</f>
        <v>44462</v>
      </c>
      <c r="I2439" s="15">
        <f>IFERROR(__xludf.DUMMYFUNCTION("""COMPUTED_VALUE"""),0.8534490740740741)</f>
        <v>0.8534490741</v>
      </c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9"/>
    </row>
    <row r="2440">
      <c r="A2440" s="12">
        <v>0.12</v>
      </c>
      <c r="B2440" s="12">
        <v>231.5</v>
      </c>
      <c r="C2440" s="12">
        <v>9.7</v>
      </c>
      <c r="D2440" s="12">
        <v>4.76</v>
      </c>
      <c r="E2440" s="12">
        <v>0.34</v>
      </c>
      <c r="F2440" s="12">
        <v>50.0</v>
      </c>
      <c r="G2440" s="13">
        <v>44462.85355680555</v>
      </c>
      <c r="H2440" s="14">
        <f>IFERROR(__xludf.DUMMYFUNCTION("SPLIT(G2440, "", "")"),44462.0)</f>
        <v>44462</v>
      </c>
      <c r="I2440" s="15">
        <f>IFERROR(__xludf.DUMMYFUNCTION("""COMPUTED_VALUE"""),0.8535532407407408)</f>
        <v>0.8535532407</v>
      </c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</row>
    <row r="2441">
      <c r="A2441" s="12">
        <v>0.13</v>
      </c>
      <c r="B2441" s="12">
        <v>231.7</v>
      </c>
      <c r="C2441" s="12">
        <v>9.7</v>
      </c>
      <c r="D2441" s="12">
        <v>4.76</v>
      </c>
      <c r="E2441" s="12">
        <v>0.33</v>
      </c>
      <c r="F2441" s="12">
        <v>50.0</v>
      </c>
      <c r="G2441" s="13">
        <v>44462.85366144676</v>
      </c>
      <c r="H2441" s="14">
        <f>IFERROR(__xludf.DUMMYFUNCTION("SPLIT(G2441, "", "")"),44462.0)</f>
        <v>44462</v>
      </c>
      <c r="I2441" s="15">
        <f>IFERROR(__xludf.DUMMYFUNCTION("""COMPUTED_VALUE"""),0.8536574074074074)</f>
        <v>0.8536574074</v>
      </c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</row>
    <row r="2442">
      <c r="A2442" s="12">
        <v>0.12</v>
      </c>
      <c r="B2442" s="12">
        <v>231.8</v>
      </c>
      <c r="C2442" s="12">
        <v>9.7</v>
      </c>
      <c r="D2442" s="12">
        <v>4.76</v>
      </c>
      <c r="E2442" s="12">
        <v>0.34</v>
      </c>
      <c r="F2442" s="12">
        <v>50.0</v>
      </c>
      <c r="G2442" s="13">
        <v>44462.85376334491</v>
      </c>
      <c r="H2442" s="14">
        <f>IFERROR(__xludf.DUMMYFUNCTION("SPLIT(G2442, "", "")"),44462.0)</f>
        <v>44462</v>
      </c>
      <c r="I2442" s="15">
        <f>IFERROR(__xludf.DUMMYFUNCTION("""COMPUTED_VALUE"""),0.853761574074074)</f>
        <v>0.8537615741</v>
      </c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</row>
    <row r="2443">
      <c r="A2443" s="12">
        <v>0.12</v>
      </c>
      <c r="B2443" s="12">
        <v>231.9</v>
      </c>
      <c r="C2443" s="12">
        <v>9.7</v>
      </c>
      <c r="D2443" s="12">
        <v>4.76</v>
      </c>
      <c r="E2443" s="12">
        <v>0.34</v>
      </c>
      <c r="F2443" s="12">
        <v>50.0</v>
      </c>
      <c r="G2443" s="13">
        <v>44462.85400209491</v>
      </c>
      <c r="H2443" s="14">
        <f>IFERROR(__xludf.DUMMYFUNCTION("SPLIT(G2443, "", "")"),44462.0)</f>
        <v>44462</v>
      </c>
      <c r="I2443" s="15">
        <f>IFERROR(__xludf.DUMMYFUNCTION("""COMPUTED_VALUE"""),0.8540046296296296)</f>
        <v>0.8540046296</v>
      </c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</row>
    <row r="2444">
      <c r="A2444" s="12">
        <v>0.12</v>
      </c>
      <c r="B2444" s="12">
        <v>231.9</v>
      </c>
      <c r="C2444" s="12">
        <v>9.7</v>
      </c>
      <c r="D2444" s="12">
        <v>4.76</v>
      </c>
      <c r="E2444" s="12">
        <v>0.34</v>
      </c>
      <c r="F2444" s="12">
        <v>50.0</v>
      </c>
      <c r="G2444" s="13">
        <v>44462.85404255787</v>
      </c>
      <c r="H2444" s="14">
        <f>IFERROR(__xludf.DUMMYFUNCTION("SPLIT(G2444, "", "")"),44462.0)</f>
        <v>44462</v>
      </c>
      <c r="I2444" s="15">
        <f>IFERROR(__xludf.DUMMYFUNCTION("""COMPUTED_VALUE"""),0.8540393518518519)</f>
        <v>0.8540393519</v>
      </c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</row>
    <row r="2445">
      <c r="A2445" s="12">
        <v>0.12</v>
      </c>
      <c r="B2445" s="12">
        <v>231.9</v>
      </c>
      <c r="C2445" s="12">
        <v>9.7</v>
      </c>
      <c r="D2445" s="12">
        <v>4.76</v>
      </c>
      <c r="E2445" s="12">
        <v>0.34</v>
      </c>
      <c r="F2445" s="12">
        <v>50.0</v>
      </c>
      <c r="G2445" s="13">
        <v>44462.85414420139</v>
      </c>
      <c r="H2445" s="14">
        <f>IFERROR(__xludf.DUMMYFUNCTION("SPLIT(G2445, "", "")"),44462.0)</f>
        <v>44462</v>
      </c>
      <c r="I2445" s="15">
        <f>IFERROR(__xludf.DUMMYFUNCTION("""COMPUTED_VALUE"""),0.8541435185185186)</f>
        <v>0.8541435185</v>
      </c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  <c r="AA2445" s="9"/>
    </row>
    <row r="2446">
      <c r="A2446" s="12">
        <v>0.13</v>
      </c>
      <c r="B2446" s="12">
        <v>232.0</v>
      </c>
      <c r="C2446" s="12">
        <v>9.7</v>
      </c>
      <c r="D2446" s="12">
        <v>4.76</v>
      </c>
      <c r="E2446" s="12">
        <v>0.33</v>
      </c>
      <c r="F2446" s="12">
        <v>50.0</v>
      </c>
      <c r="G2446" s="13">
        <v>44462.854241759254</v>
      </c>
      <c r="H2446" s="14">
        <f>IFERROR(__xludf.DUMMYFUNCTION("SPLIT(G2446, "", "")"),44462.0)</f>
        <v>44462</v>
      </c>
      <c r="I2446" s="15">
        <f>IFERROR(__xludf.DUMMYFUNCTION("""COMPUTED_VALUE"""),0.8542361111111111)</f>
        <v>0.8542361111</v>
      </c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</row>
    <row r="2447">
      <c r="A2447" s="12">
        <v>0.12</v>
      </c>
      <c r="B2447" s="12">
        <v>232.2</v>
      </c>
      <c r="C2447" s="12">
        <v>9.7</v>
      </c>
      <c r="D2447" s="12">
        <v>4.76</v>
      </c>
      <c r="E2447" s="12">
        <v>0.34</v>
      </c>
      <c r="F2447" s="12">
        <v>50.0</v>
      </c>
      <c r="G2447" s="13">
        <v>44462.85434438658</v>
      </c>
      <c r="H2447" s="14">
        <f>IFERROR(__xludf.DUMMYFUNCTION("SPLIT(G2447, "", "")"),44462.0)</f>
        <v>44462</v>
      </c>
      <c r="I2447" s="15">
        <f>IFERROR(__xludf.DUMMYFUNCTION("""COMPUTED_VALUE"""),0.8543402777777778)</f>
        <v>0.8543402778</v>
      </c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</row>
    <row r="2448">
      <c r="A2448" s="12">
        <v>0.12</v>
      </c>
      <c r="B2448" s="12">
        <v>231.5</v>
      </c>
      <c r="C2448" s="12">
        <v>9.6</v>
      </c>
      <c r="D2448" s="12">
        <v>4.76</v>
      </c>
      <c r="E2448" s="12">
        <v>0.34</v>
      </c>
      <c r="F2448" s="12">
        <v>50.0</v>
      </c>
      <c r="G2448" s="13">
        <v>44462.85445532408</v>
      </c>
      <c r="H2448" s="14">
        <f>IFERROR(__xludf.DUMMYFUNCTION("SPLIT(G2448, "", "")"),44462.0)</f>
        <v>44462</v>
      </c>
      <c r="I2448" s="15">
        <f>IFERROR(__xludf.DUMMYFUNCTION("""COMPUTED_VALUE"""),0.8544560185185185)</f>
        <v>0.8544560185</v>
      </c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</row>
    <row r="2449">
      <c r="A2449" s="12">
        <v>0.12</v>
      </c>
      <c r="B2449" s="12">
        <v>231.3</v>
      </c>
      <c r="C2449" s="12">
        <v>9.6</v>
      </c>
      <c r="D2449" s="12">
        <v>4.76</v>
      </c>
      <c r="E2449" s="12">
        <v>0.33</v>
      </c>
      <c r="F2449" s="12">
        <v>50.0</v>
      </c>
      <c r="G2449" s="13">
        <v>44462.85455653935</v>
      </c>
      <c r="H2449" s="14">
        <f>IFERROR(__xludf.DUMMYFUNCTION("SPLIT(G2449, "", "")"),44462.0)</f>
        <v>44462</v>
      </c>
      <c r="I2449" s="15">
        <f>IFERROR(__xludf.DUMMYFUNCTION("""COMPUTED_VALUE"""),0.8545601851851852)</f>
        <v>0.8545601852</v>
      </c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</row>
    <row r="2450">
      <c r="A2450" s="12">
        <v>0.12</v>
      </c>
      <c r="B2450" s="12">
        <v>231.3</v>
      </c>
      <c r="C2450" s="12">
        <v>9.5</v>
      </c>
      <c r="D2450" s="12">
        <v>4.76</v>
      </c>
      <c r="E2450" s="12">
        <v>0.33</v>
      </c>
      <c r="F2450" s="12">
        <v>50.0</v>
      </c>
      <c r="G2450" s="13">
        <v>44462.854655613424</v>
      </c>
      <c r="H2450" s="14">
        <f>IFERROR(__xludf.DUMMYFUNCTION("SPLIT(G2450, "", "")"),44462.0)</f>
        <v>44462</v>
      </c>
      <c r="I2450" s="15">
        <f>IFERROR(__xludf.DUMMYFUNCTION("""COMPUTED_VALUE"""),0.8546527777777778)</f>
        <v>0.8546527778</v>
      </c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</row>
    <row r="2451">
      <c r="A2451" s="12">
        <v>0.12</v>
      </c>
      <c r="B2451" s="12">
        <v>231.4</v>
      </c>
      <c r="C2451" s="12">
        <v>9.6</v>
      </c>
      <c r="D2451" s="12">
        <v>4.76</v>
      </c>
      <c r="E2451" s="12">
        <v>0.34</v>
      </c>
      <c r="F2451" s="12">
        <v>50.0</v>
      </c>
      <c r="G2451" s="13">
        <v>44462.85475817129</v>
      </c>
      <c r="H2451" s="14">
        <f>IFERROR(__xludf.DUMMYFUNCTION("SPLIT(G2451, "", "")"),44462.0)</f>
        <v>44462</v>
      </c>
      <c r="I2451" s="15">
        <f>IFERROR(__xludf.DUMMYFUNCTION("""COMPUTED_VALUE"""),0.8547569444444445)</f>
        <v>0.8547569444</v>
      </c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  <c r="AA2451" s="9"/>
    </row>
    <row r="2452">
      <c r="A2452" s="12">
        <v>0.12</v>
      </c>
      <c r="B2452" s="12">
        <v>231.3</v>
      </c>
      <c r="C2452" s="12">
        <v>9.5</v>
      </c>
      <c r="D2452" s="12">
        <v>4.76</v>
      </c>
      <c r="E2452" s="12">
        <v>0.34</v>
      </c>
      <c r="F2452" s="12">
        <v>50.0</v>
      </c>
      <c r="G2452" s="13">
        <v>44462.85486049768</v>
      </c>
      <c r="H2452" s="14">
        <f>IFERROR(__xludf.DUMMYFUNCTION("SPLIT(G2452, "", "")"),44462.0)</f>
        <v>44462</v>
      </c>
      <c r="I2452" s="15">
        <f>IFERROR(__xludf.DUMMYFUNCTION("""COMPUTED_VALUE"""),0.8548611111111111)</f>
        <v>0.8548611111</v>
      </c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  <c r="AA2452" s="9"/>
    </row>
    <row r="2453">
      <c r="A2453" s="12">
        <v>0.12</v>
      </c>
      <c r="B2453" s="12">
        <v>231.4</v>
      </c>
      <c r="C2453" s="12">
        <v>9.5</v>
      </c>
      <c r="D2453" s="12">
        <v>4.76</v>
      </c>
      <c r="E2453" s="12">
        <v>0.33</v>
      </c>
      <c r="F2453" s="12">
        <v>50.0</v>
      </c>
      <c r="G2453" s="13">
        <v>44462.85496804398</v>
      </c>
      <c r="H2453" s="14">
        <f>IFERROR(__xludf.DUMMYFUNCTION("SPLIT(G2453, "", "")"),44462.0)</f>
        <v>44462</v>
      </c>
      <c r="I2453" s="15">
        <f>IFERROR(__xludf.DUMMYFUNCTION("""COMPUTED_VALUE"""),0.8549652777777778)</f>
        <v>0.8549652778</v>
      </c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</row>
    <row r="2454">
      <c r="A2454" s="12">
        <v>0.13</v>
      </c>
      <c r="B2454" s="12">
        <v>231.4</v>
      </c>
      <c r="C2454" s="12">
        <v>9.6</v>
      </c>
      <c r="D2454" s="12">
        <v>4.76</v>
      </c>
      <c r="E2454" s="12">
        <v>0.33</v>
      </c>
      <c r="F2454" s="12">
        <v>50.0</v>
      </c>
      <c r="G2454" s="13">
        <v>44462.855078912035</v>
      </c>
      <c r="H2454" s="14">
        <f>IFERROR(__xludf.DUMMYFUNCTION("SPLIT(G2454, "", "")"),44462.0)</f>
        <v>44462</v>
      </c>
      <c r="I2454" s="15">
        <f>IFERROR(__xludf.DUMMYFUNCTION("""COMPUTED_VALUE"""),0.8550810185185185)</f>
        <v>0.8550810185</v>
      </c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  <c r="AA2454" s="9"/>
    </row>
    <row r="2455">
      <c r="A2455" s="12">
        <v>0.12</v>
      </c>
      <c r="B2455" s="12">
        <v>231.5</v>
      </c>
      <c r="C2455" s="12">
        <v>9.5</v>
      </c>
      <c r="D2455" s="12">
        <v>4.76</v>
      </c>
      <c r="E2455" s="12">
        <v>0.33</v>
      </c>
      <c r="F2455" s="12">
        <v>50.0</v>
      </c>
      <c r="G2455" s="13">
        <v>44462.855183912034</v>
      </c>
      <c r="H2455" s="14">
        <f>IFERROR(__xludf.DUMMYFUNCTION("SPLIT(G2455, "", "")"),44462.0)</f>
        <v>44462</v>
      </c>
      <c r="I2455" s="15">
        <f>IFERROR(__xludf.DUMMYFUNCTION("""COMPUTED_VALUE"""),0.8551851851851852)</f>
        <v>0.8551851852</v>
      </c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</row>
    <row r="2456">
      <c r="A2456" s="12">
        <v>0.13</v>
      </c>
      <c r="B2456" s="12">
        <v>231.7</v>
      </c>
      <c r="C2456" s="12">
        <v>9.6</v>
      </c>
      <c r="D2456" s="12">
        <v>4.76</v>
      </c>
      <c r="E2456" s="12">
        <v>0.33</v>
      </c>
      <c r="F2456" s="12">
        <v>50.0</v>
      </c>
      <c r="G2456" s="13">
        <v>44462.85528512731</v>
      </c>
      <c r="H2456" s="14">
        <f>IFERROR(__xludf.DUMMYFUNCTION("SPLIT(G2456, "", "")"),44462.0)</f>
        <v>44462</v>
      </c>
      <c r="I2456" s="15">
        <f>IFERROR(__xludf.DUMMYFUNCTION("""COMPUTED_VALUE"""),0.8552893518518518)</f>
        <v>0.8552893519</v>
      </c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  <c r="AA2456" s="9"/>
    </row>
    <row r="2457">
      <c r="A2457" s="12">
        <v>0.12</v>
      </c>
      <c r="B2457" s="12">
        <v>231.7</v>
      </c>
      <c r="C2457" s="12">
        <v>9.5</v>
      </c>
      <c r="D2457" s="12">
        <v>4.76</v>
      </c>
      <c r="E2457" s="12">
        <v>0.33</v>
      </c>
      <c r="F2457" s="12">
        <v>50.0</v>
      </c>
      <c r="G2457" s="13">
        <v>44462.85538086806</v>
      </c>
      <c r="H2457" s="14">
        <f>IFERROR(__xludf.DUMMYFUNCTION("SPLIT(G2457, "", "")"),44462.0)</f>
        <v>44462</v>
      </c>
      <c r="I2457" s="15">
        <f>IFERROR(__xludf.DUMMYFUNCTION("""COMPUTED_VALUE"""),0.8553819444444445)</f>
        <v>0.8553819444</v>
      </c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  <c r="AA2457" s="9"/>
    </row>
    <row r="2458">
      <c r="A2458" s="12">
        <v>0.12</v>
      </c>
      <c r="B2458" s="12">
        <v>231.6</v>
      </c>
      <c r="C2458" s="12">
        <v>9.5</v>
      </c>
      <c r="D2458" s="12">
        <v>4.76</v>
      </c>
      <c r="E2458" s="12">
        <v>0.33</v>
      </c>
      <c r="F2458" s="12">
        <v>50.0</v>
      </c>
      <c r="G2458" s="13">
        <v>44462.85547971065</v>
      </c>
      <c r="H2458" s="14">
        <f>IFERROR(__xludf.DUMMYFUNCTION("SPLIT(G2458, "", "")"),44462.0)</f>
        <v>44462</v>
      </c>
      <c r="I2458" s="15">
        <f>IFERROR(__xludf.DUMMYFUNCTION("""COMPUTED_VALUE"""),0.855474537037037)</f>
        <v>0.855474537</v>
      </c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  <c r="AA2458" s="9"/>
    </row>
    <row r="2459">
      <c r="A2459" s="12">
        <v>0.12</v>
      </c>
      <c r="B2459" s="12">
        <v>231.6</v>
      </c>
      <c r="C2459" s="12">
        <v>9.5</v>
      </c>
      <c r="D2459" s="12">
        <v>4.76</v>
      </c>
      <c r="E2459" s="12">
        <v>0.34</v>
      </c>
      <c r="F2459" s="12">
        <v>50.0</v>
      </c>
      <c r="G2459" s="13">
        <v>44462.85557994213</v>
      </c>
      <c r="H2459" s="14">
        <f>IFERROR(__xludf.DUMMYFUNCTION("SPLIT(G2459, "", "")"),44462.0)</f>
        <v>44462</v>
      </c>
      <c r="I2459" s="15">
        <f>IFERROR(__xludf.DUMMYFUNCTION("""COMPUTED_VALUE"""),0.8555787037037037)</f>
        <v>0.8555787037</v>
      </c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  <c r="AA2459" s="9"/>
    </row>
    <row r="2460">
      <c r="A2460" s="12">
        <v>0.12</v>
      </c>
      <c r="B2460" s="12">
        <v>231.5</v>
      </c>
      <c r="C2460" s="12">
        <v>9.5</v>
      </c>
      <c r="D2460" s="12">
        <v>4.76</v>
      </c>
      <c r="E2460" s="12">
        <v>0.33</v>
      </c>
      <c r="F2460" s="12">
        <v>50.0</v>
      </c>
      <c r="G2460" s="13">
        <v>44462.855681064815</v>
      </c>
      <c r="H2460" s="14">
        <f>IFERROR(__xludf.DUMMYFUNCTION("SPLIT(G2460, "", "")"),44462.0)</f>
        <v>44462</v>
      </c>
      <c r="I2460" s="15">
        <f>IFERROR(__xludf.DUMMYFUNCTION("""COMPUTED_VALUE"""),0.8556828703703704)</f>
        <v>0.8556828704</v>
      </c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  <c r="AA2460" s="9"/>
    </row>
    <row r="2461">
      <c r="A2461" s="12">
        <v>0.12</v>
      </c>
      <c r="B2461" s="12">
        <v>231.6</v>
      </c>
      <c r="C2461" s="12">
        <v>9.5</v>
      </c>
      <c r="D2461" s="12">
        <v>4.76</v>
      </c>
      <c r="E2461" s="12">
        <v>0.33</v>
      </c>
      <c r="F2461" s="12">
        <v>50.0</v>
      </c>
      <c r="G2461" s="13">
        <v>44462.85579381944</v>
      </c>
      <c r="H2461" s="14">
        <f>IFERROR(__xludf.DUMMYFUNCTION("SPLIT(G2461, "", "")"),44462.0)</f>
        <v>44462</v>
      </c>
      <c r="I2461" s="15">
        <f>IFERROR(__xludf.DUMMYFUNCTION("""COMPUTED_VALUE"""),0.8557986111111111)</f>
        <v>0.8557986111</v>
      </c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</row>
    <row r="2462">
      <c r="A2462" s="12">
        <v>0.12</v>
      </c>
      <c r="B2462" s="12">
        <v>231.5</v>
      </c>
      <c r="C2462" s="12">
        <v>9.5</v>
      </c>
      <c r="D2462" s="12">
        <v>4.76</v>
      </c>
      <c r="E2462" s="12">
        <v>0.34</v>
      </c>
      <c r="F2462" s="12">
        <v>50.0</v>
      </c>
      <c r="G2462" s="13">
        <v>44462.855891203704</v>
      </c>
      <c r="H2462" s="14">
        <f>IFERROR(__xludf.DUMMYFUNCTION("SPLIT(G2462, "", "")"),44462.0)</f>
        <v>44462</v>
      </c>
      <c r="I2462" s="15">
        <f>IFERROR(__xludf.DUMMYFUNCTION("""COMPUTED_VALUE"""),0.8558912037037038)</f>
        <v>0.8558912037</v>
      </c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</row>
    <row r="2463">
      <c r="A2463" s="12">
        <v>0.12</v>
      </c>
      <c r="B2463" s="12">
        <v>231.4</v>
      </c>
      <c r="C2463" s="12">
        <v>9.5</v>
      </c>
      <c r="D2463" s="12">
        <v>4.76</v>
      </c>
      <c r="E2463" s="12">
        <v>0.34</v>
      </c>
      <c r="F2463" s="12">
        <v>50.0</v>
      </c>
      <c r="G2463" s="13">
        <v>44462.85599267361</v>
      </c>
      <c r="H2463" s="14">
        <f>IFERROR(__xludf.DUMMYFUNCTION("SPLIT(G2463, "", "")"),44462.0)</f>
        <v>44462</v>
      </c>
      <c r="I2463" s="15">
        <f>IFERROR(__xludf.DUMMYFUNCTION("""COMPUTED_VALUE"""),0.8559953703703703)</f>
        <v>0.8559953704</v>
      </c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</row>
    <row r="2464">
      <c r="A2464" s="12">
        <v>0.12</v>
      </c>
      <c r="B2464" s="12">
        <v>231.3</v>
      </c>
      <c r="C2464" s="12">
        <v>9.4</v>
      </c>
      <c r="D2464" s="12">
        <v>4.76</v>
      </c>
      <c r="E2464" s="12">
        <v>0.33</v>
      </c>
      <c r="F2464" s="12">
        <v>49.9</v>
      </c>
      <c r="G2464" s="13">
        <v>44462.856094386574</v>
      </c>
      <c r="H2464" s="14">
        <f>IFERROR(__xludf.DUMMYFUNCTION("SPLIT(G2464, "", "")"),44462.0)</f>
        <v>44462</v>
      </c>
      <c r="I2464" s="15">
        <f>IFERROR(__xludf.DUMMYFUNCTION("""COMPUTED_VALUE"""),0.856099537037037)</f>
        <v>0.856099537</v>
      </c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</row>
    <row r="2465">
      <c r="A2465" s="12">
        <v>0.12</v>
      </c>
      <c r="B2465" s="12">
        <v>231.3</v>
      </c>
      <c r="C2465" s="12">
        <v>9.4</v>
      </c>
      <c r="D2465" s="12">
        <v>4.76</v>
      </c>
      <c r="E2465" s="12">
        <v>0.33</v>
      </c>
      <c r="F2465" s="12">
        <v>49.9</v>
      </c>
      <c r="G2465" s="13">
        <v>44462.85619431713</v>
      </c>
      <c r="H2465" s="14">
        <f>IFERROR(__xludf.DUMMYFUNCTION("SPLIT(G2465, "", "")"),44462.0)</f>
        <v>44462</v>
      </c>
      <c r="I2465" s="15">
        <f>IFERROR(__xludf.DUMMYFUNCTION("""COMPUTED_VALUE"""),0.8561921296296297)</f>
        <v>0.8561921296</v>
      </c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</row>
    <row r="2466">
      <c r="A2466" s="12">
        <v>0.12</v>
      </c>
      <c r="B2466" s="12">
        <v>231.3</v>
      </c>
      <c r="C2466" s="12">
        <v>9.4</v>
      </c>
      <c r="D2466" s="12">
        <v>4.76</v>
      </c>
      <c r="E2466" s="12">
        <v>0.33</v>
      </c>
      <c r="F2466" s="12">
        <v>49.9</v>
      </c>
      <c r="G2466" s="13">
        <v>44462.856293599536</v>
      </c>
      <c r="H2466" s="14">
        <f>IFERROR(__xludf.DUMMYFUNCTION("SPLIT(G2466, "", "")"),44462.0)</f>
        <v>44462</v>
      </c>
      <c r="I2466" s="15">
        <f>IFERROR(__xludf.DUMMYFUNCTION("""COMPUTED_VALUE"""),0.8562962962962963)</f>
        <v>0.8562962963</v>
      </c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</row>
    <row r="2467">
      <c r="A2467" s="12">
        <v>0.12</v>
      </c>
      <c r="B2467" s="12">
        <v>231.2</v>
      </c>
      <c r="C2467" s="12">
        <v>9.4</v>
      </c>
      <c r="D2467" s="12">
        <v>4.76</v>
      </c>
      <c r="E2467" s="12">
        <v>0.33</v>
      </c>
      <c r="F2467" s="12">
        <v>49.9</v>
      </c>
      <c r="G2467" s="13">
        <v>44462.85639663195</v>
      </c>
      <c r="H2467" s="14">
        <f>IFERROR(__xludf.DUMMYFUNCTION("SPLIT(G2467, "", "")"),44462.0)</f>
        <v>44462</v>
      </c>
      <c r="I2467" s="15">
        <f>IFERROR(__xludf.DUMMYFUNCTION("""COMPUTED_VALUE"""),0.856400462962963)</f>
        <v>0.856400463</v>
      </c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</row>
    <row r="2468">
      <c r="A2468" s="12">
        <v>0.12</v>
      </c>
      <c r="B2468" s="12">
        <v>231.2</v>
      </c>
      <c r="C2468" s="12">
        <v>9.4</v>
      </c>
      <c r="D2468" s="12">
        <v>4.76</v>
      </c>
      <c r="E2468" s="12">
        <v>0.33</v>
      </c>
      <c r="F2468" s="12">
        <v>50.0</v>
      </c>
      <c r="G2468" s="13">
        <v>44462.85649928241</v>
      </c>
      <c r="H2468" s="14">
        <f>IFERROR(__xludf.DUMMYFUNCTION("SPLIT(G2468, "", "")"),44462.0)</f>
        <v>44462</v>
      </c>
      <c r="I2468" s="15">
        <f>IFERROR(__xludf.DUMMYFUNCTION("""COMPUTED_VALUE"""),0.8565046296296296)</f>
        <v>0.8565046296</v>
      </c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</row>
    <row r="2469">
      <c r="A2469" s="9"/>
      <c r="B2469" s="9"/>
      <c r="C2469" s="9"/>
      <c r="D2469" s="9"/>
      <c r="E2469" s="9"/>
      <c r="F2469" s="9"/>
      <c r="G2469" s="10"/>
      <c r="H2469" s="9"/>
      <c r="I2469" s="15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</row>
    <row r="2470">
      <c r="A2470" s="9"/>
      <c r="B2470" s="9"/>
      <c r="C2470" s="9"/>
      <c r="D2470" s="9"/>
      <c r="E2470" s="9"/>
      <c r="F2470" s="9"/>
      <c r="G2470" s="10"/>
      <c r="H2470" s="9"/>
      <c r="I2470" s="15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</row>
    <row r="2471">
      <c r="A2471" s="9"/>
      <c r="B2471" s="9"/>
      <c r="C2471" s="9"/>
      <c r="D2471" s="9"/>
      <c r="E2471" s="9"/>
      <c r="F2471" s="9"/>
      <c r="G2471" s="10"/>
      <c r="H2471" s="9"/>
      <c r="I2471" s="15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</row>
    <row r="2472">
      <c r="A2472" s="9"/>
      <c r="B2472" s="9"/>
      <c r="C2472" s="9"/>
      <c r="D2472" s="9"/>
      <c r="E2472" s="9"/>
      <c r="F2472" s="9"/>
      <c r="G2472" s="10"/>
      <c r="H2472" s="9"/>
      <c r="I2472" s="15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</row>
    <row r="2473">
      <c r="A2473" s="9"/>
      <c r="B2473" s="9"/>
      <c r="C2473" s="9"/>
      <c r="D2473" s="9"/>
      <c r="E2473" s="9"/>
      <c r="F2473" s="9"/>
      <c r="G2473" s="10"/>
      <c r="H2473" s="9"/>
      <c r="I2473" s="15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  <c r="AA2473" s="9"/>
    </row>
    <row r="2474">
      <c r="A2474" s="9"/>
      <c r="B2474" s="9"/>
      <c r="C2474" s="9"/>
      <c r="D2474" s="9"/>
      <c r="E2474" s="9"/>
      <c r="F2474" s="9"/>
      <c r="G2474" s="10"/>
      <c r="H2474" s="9"/>
      <c r="I2474" s="15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</row>
    <row r="2475">
      <c r="A2475" s="9"/>
      <c r="B2475" s="9"/>
      <c r="C2475" s="9"/>
      <c r="D2475" s="9"/>
      <c r="E2475" s="9"/>
      <c r="F2475" s="9"/>
      <c r="G2475" s="10"/>
      <c r="H2475" s="9"/>
      <c r="I2475" s="15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  <c r="AA2475" s="9"/>
    </row>
    <row r="2476">
      <c r="A2476" s="9"/>
      <c r="B2476" s="9"/>
      <c r="C2476" s="9"/>
      <c r="D2476" s="9"/>
      <c r="E2476" s="9"/>
      <c r="F2476" s="9"/>
      <c r="G2476" s="10"/>
      <c r="H2476" s="9"/>
      <c r="I2476" s="15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  <c r="AA2476" s="9"/>
    </row>
    <row r="2477">
      <c r="A2477" s="9"/>
      <c r="B2477" s="9"/>
      <c r="C2477" s="9"/>
      <c r="D2477" s="9"/>
      <c r="E2477" s="9"/>
      <c r="F2477" s="9"/>
      <c r="G2477" s="10"/>
      <c r="H2477" s="9"/>
      <c r="I2477" s="15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  <c r="AA2477" s="9"/>
    </row>
    <row r="2478">
      <c r="A2478" s="9"/>
      <c r="B2478" s="9"/>
      <c r="C2478" s="9"/>
      <c r="D2478" s="9"/>
      <c r="E2478" s="9"/>
      <c r="F2478" s="9"/>
      <c r="G2478" s="10"/>
      <c r="H2478" s="9"/>
      <c r="I2478" s="15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  <c r="AA2478" s="9"/>
    </row>
    <row r="2479">
      <c r="A2479" s="9"/>
      <c r="B2479" s="9"/>
      <c r="C2479" s="9"/>
      <c r="D2479" s="9"/>
      <c r="E2479" s="9"/>
      <c r="F2479" s="9"/>
      <c r="G2479" s="10"/>
      <c r="H2479" s="9"/>
      <c r="I2479" s="15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  <c r="AA2479" s="9"/>
    </row>
    <row r="2480">
      <c r="A2480" s="9"/>
      <c r="B2480" s="9"/>
      <c r="C2480" s="9"/>
      <c r="D2480" s="9"/>
      <c r="E2480" s="9"/>
      <c r="F2480" s="9"/>
      <c r="G2480" s="10"/>
      <c r="H2480" s="9"/>
      <c r="I2480" s="15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  <c r="AA2480" s="9"/>
    </row>
    <row r="2481">
      <c r="A2481" s="9"/>
      <c r="B2481" s="9"/>
      <c r="C2481" s="9"/>
      <c r="D2481" s="9"/>
      <c r="E2481" s="9"/>
      <c r="F2481" s="9"/>
      <c r="G2481" s="10"/>
      <c r="H2481" s="9"/>
      <c r="I2481" s="15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  <c r="AA2481" s="9"/>
    </row>
    <row r="2482">
      <c r="A2482" s="9"/>
      <c r="B2482" s="9"/>
      <c r="C2482" s="9"/>
      <c r="D2482" s="9"/>
      <c r="E2482" s="9"/>
      <c r="F2482" s="9"/>
      <c r="G2482" s="10"/>
      <c r="H2482" s="9"/>
      <c r="I2482" s="15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  <c r="AA2482" s="9"/>
    </row>
    <row r="2483">
      <c r="A2483" s="9"/>
      <c r="B2483" s="9"/>
      <c r="C2483" s="9"/>
      <c r="D2483" s="9"/>
      <c r="E2483" s="9"/>
      <c r="F2483" s="9"/>
      <c r="G2483" s="10"/>
      <c r="H2483" s="9"/>
      <c r="I2483" s="15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</row>
    <row r="2484">
      <c r="A2484" s="9"/>
      <c r="B2484" s="9"/>
      <c r="C2484" s="9"/>
      <c r="D2484" s="9"/>
      <c r="E2484" s="9"/>
      <c r="F2484" s="9"/>
      <c r="G2484" s="10"/>
      <c r="H2484" s="9"/>
      <c r="I2484" s="15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</row>
    <row r="2485">
      <c r="A2485" s="9"/>
      <c r="B2485" s="9"/>
      <c r="C2485" s="9"/>
      <c r="D2485" s="9"/>
      <c r="E2485" s="9"/>
      <c r="F2485" s="9"/>
      <c r="G2485" s="10"/>
      <c r="H2485" s="9"/>
      <c r="I2485" s="15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</row>
    <row r="2486">
      <c r="A2486" s="9"/>
      <c r="B2486" s="9"/>
      <c r="C2486" s="9"/>
      <c r="D2486" s="9"/>
      <c r="E2486" s="9"/>
      <c r="F2486" s="9"/>
      <c r="G2486" s="10"/>
      <c r="H2486" s="9"/>
      <c r="I2486" s="15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</row>
    <row r="2487">
      <c r="A2487" s="9"/>
      <c r="B2487" s="9"/>
      <c r="C2487" s="9"/>
      <c r="D2487" s="9"/>
      <c r="E2487" s="9"/>
      <c r="F2487" s="9"/>
      <c r="G2487" s="10"/>
      <c r="H2487" s="9"/>
      <c r="I2487" s="15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</row>
    <row r="2488">
      <c r="A2488" s="9"/>
      <c r="B2488" s="9"/>
      <c r="C2488" s="9"/>
      <c r="D2488" s="9"/>
      <c r="E2488" s="9"/>
      <c r="F2488" s="9"/>
      <c r="G2488" s="10"/>
      <c r="H2488" s="9"/>
      <c r="I2488" s="15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</row>
    <row r="2489">
      <c r="A2489" s="9"/>
      <c r="B2489" s="9"/>
      <c r="C2489" s="9"/>
      <c r="D2489" s="9"/>
      <c r="E2489" s="9"/>
      <c r="F2489" s="9"/>
      <c r="G2489" s="10"/>
      <c r="H2489" s="9"/>
      <c r="I2489" s="15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</row>
    <row r="2490">
      <c r="A2490" s="9"/>
      <c r="B2490" s="9"/>
      <c r="C2490" s="9"/>
      <c r="D2490" s="9"/>
      <c r="E2490" s="9"/>
      <c r="F2490" s="9"/>
      <c r="G2490" s="10"/>
      <c r="H2490" s="9"/>
      <c r="I2490" s="15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</row>
    <row r="2491">
      <c r="A2491" s="9"/>
      <c r="B2491" s="9"/>
      <c r="C2491" s="9"/>
      <c r="D2491" s="9"/>
      <c r="E2491" s="9"/>
      <c r="F2491" s="9"/>
      <c r="G2491" s="10"/>
      <c r="H2491" s="9"/>
      <c r="I2491" s="15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</row>
    <row r="2492">
      <c r="A2492" s="9"/>
      <c r="B2492" s="9"/>
      <c r="C2492" s="9"/>
      <c r="D2492" s="9"/>
      <c r="E2492" s="9"/>
      <c r="F2492" s="9"/>
      <c r="G2492" s="10"/>
      <c r="H2492" s="9"/>
      <c r="I2492" s="15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</row>
    <row r="2493">
      <c r="A2493" s="9"/>
      <c r="B2493" s="9"/>
      <c r="C2493" s="9"/>
      <c r="D2493" s="9"/>
      <c r="E2493" s="9"/>
      <c r="F2493" s="9"/>
      <c r="G2493" s="10"/>
      <c r="H2493" s="9"/>
      <c r="I2493" s="15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</row>
    <row r="2494">
      <c r="A2494" s="9"/>
      <c r="B2494" s="9"/>
      <c r="C2494" s="9"/>
      <c r="D2494" s="9"/>
      <c r="E2494" s="9"/>
      <c r="F2494" s="9"/>
      <c r="G2494" s="10"/>
      <c r="H2494" s="9"/>
      <c r="I2494" s="15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</row>
    <row r="2495">
      <c r="A2495" s="9"/>
      <c r="B2495" s="9"/>
      <c r="C2495" s="9"/>
      <c r="D2495" s="9"/>
      <c r="E2495" s="9"/>
      <c r="F2495" s="9"/>
      <c r="G2495" s="10"/>
      <c r="H2495" s="9"/>
      <c r="I2495" s="15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</row>
    <row r="2496">
      <c r="A2496" s="9"/>
      <c r="B2496" s="9"/>
      <c r="C2496" s="9"/>
      <c r="D2496" s="9"/>
      <c r="E2496" s="9"/>
      <c r="F2496" s="9"/>
      <c r="G2496" s="10"/>
      <c r="H2496" s="9"/>
      <c r="I2496" s="15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</row>
    <row r="2497">
      <c r="A2497" s="9"/>
      <c r="B2497" s="9"/>
      <c r="C2497" s="9"/>
      <c r="D2497" s="9"/>
      <c r="E2497" s="9"/>
      <c r="F2497" s="9"/>
      <c r="G2497" s="10"/>
      <c r="H2497" s="9"/>
      <c r="I2497" s="15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</row>
    <row r="2498">
      <c r="A2498" s="9"/>
      <c r="B2498" s="9"/>
      <c r="C2498" s="9"/>
      <c r="D2498" s="9"/>
      <c r="E2498" s="9"/>
      <c r="F2498" s="9"/>
      <c r="G2498" s="10"/>
      <c r="H2498" s="9"/>
      <c r="I2498" s="15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</row>
    <row r="2499">
      <c r="A2499" s="9"/>
      <c r="B2499" s="9"/>
      <c r="C2499" s="9"/>
      <c r="D2499" s="9"/>
      <c r="E2499" s="9"/>
      <c r="F2499" s="9"/>
      <c r="G2499" s="10"/>
      <c r="H2499" s="9"/>
      <c r="I2499" s="15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</row>
    <row r="2500">
      <c r="A2500" s="9"/>
      <c r="B2500" s="9"/>
      <c r="C2500" s="9"/>
      <c r="D2500" s="9"/>
      <c r="E2500" s="9"/>
      <c r="F2500" s="9"/>
      <c r="G2500" s="10"/>
      <c r="H2500" s="9"/>
      <c r="I2500" s="15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</row>
    <row r="2501">
      <c r="A2501" s="9"/>
      <c r="B2501" s="9"/>
      <c r="C2501" s="9"/>
      <c r="D2501" s="9"/>
      <c r="E2501" s="9"/>
      <c r="F2501" s="9"/>
      <c r="G2501" s="10"/>
      <c r="H2501" s="9"/>
      <c r="I2501" s="15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</row>
    <row r="2502">
      <c r="A2502" s="9"/>
      <c r="B2502" s="9"/>
      <c r="C2502" s="9"/>
      <c r="D2502" s="9"/>
      <c r="E2502" s="9"/>
      <c r="F2502" s="9"/>
      <c r="G2502" s="10"/>
      <c r="H2502" s="9"/>
      <c r="I2502" s="15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</row>
    <row r="2503">
      <c r="A2503" s="9"/>
      <c r="B2503" s="9"/>
      <c r="C2503" s="9"/>
      <c r="D2503" s="9"/>
      <c r="E2503" s="9"/>
      <c r="F2503" s="9"/>
      <c r="G2503" s="10"/>
      <c r="H2503" s="9"/>
      <c r="I2503" s="15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  <c r="AA2503" s="9"/>
    </row>
    <row r="2504">
      <c r="A2504" s="9"/>
      <c r="B2504" s="9"/>
      <c r="C2504" s="9"/>
      <c r="D2504" s="9"/>
      <c r="E2504" s="9"/>
      <c r="F2504" s="9"/>
      <c r="G2504" s="10"/>
      <c r="H2504" s="9"/>
      <c r="I2504" s="15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  <c r="AA2504" s="9"/>
    </row>
    <row r="2505">
      <c r="A2505" s="9"/>
      <c r="B2505" s="9"/>
      <c r="C2505" s="9"/>
      <c r="D2505" s="9"/>
      <c r="E2505" s="9"/>
      <c r="F2505" s="9"/>
      <c r="G2505" s="10"/>
      <c r="H2505" s="9"/>
      <c r="I2505" s="15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  <c r="AA2505" s="9"/>
    </row>
    <row r="2506">
      <c r="A2506" s="9"/>
      <c r="B2506" s="9"/>
      <c r="C2506" s="9"/>
      <c r="D2506" s="9"/>
      <c r="E2506" s="9"/>
      <c r="F2506" s="9"/>
      <c r="G2506" s="10"/>
      <c r="H2506" s="9"/>
      <c r="I2506" s="15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  <c r="AA2506" s="9"/>
    </row>
    <row r="2507">
      <c r="A2507" s="9"/>
      <c r="B2507" s="9"/>
      <c r="C2507" s="9"/>
      <c r="D2507" s="9"/>
      <c r="E2507" s="9"/>
      <c r="F2507" s="9"/>
      <c r="G2507" s="10"/>
      <c r="H2507" s="9"/>
      <c r="I2507" s="15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  <c r="AA2507" s="9"/>
    </row>
    <row r="2508">
      <c r="A2508" s="9"/>
      <c r="B2508" s="9"/>
      <c r="C2508" s="9"/>
      <c r="D2508" s="9"/>
      <c r="E2508" s="9"/>
      <c r="F2508" s="9"/>
      <c r="G2508" s="10"/>
      <c r="H2508" s="9"/>
      <c r="I2508" s="15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  <c r="AA2508" s="9"/>
    </row>
    <row r="2509">
      <c r="A2509" s="9"/>
      <c r="B2509" s="9"/>
      <c r="C2509" s="9"/>
      <c r="D2509" s="9"/>
      <c r="E2509" s="9"/>
      <c r="F2509" s="9"/>
      <c r="G2509" s="10"/>
      <c r="H2509" s="9"/>
      <c r="I2509" s="15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  <c r="AA2509" s="9"/>
    </row>
    <row r="2510">
      <c r="A2510" s="9"/>
      <c r="B2510" s="9"/>
      <c r="C2510" s="9"/>
      <c r="D2510" s="9"/>
      <c r="E2510" s="9"/>
      <c r="F2510" s="9"/>
      <c r="G2510" s="10"/>
      <c r="H2510" s="9"/>
      <c r="I2510" s="15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  <c r="AA2510" s="9"/>
    </row>
    <row r="2511">
      <c r="A2511" s="9"/>
      <c r="B2511" s="9"/>
      <c r="C2511" s="9"/>
      <c r="D2511" s="9"/>
      <c r="E2511" s="9"/>
      <c r="F2511" s="9"/>
      <c r="G2511" s="10"/>
      <c r="H2511" s="9"/>
      <c r="I2511" s="15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</row>
    <row r="2512">
      <c r="A2512" s="9"/>
      <c r="B2512" s="9"/>
      <c r="C2512" s="9"/>
      <c r="D2512" s="9"/>
      <c r="E2512" s="9"/>
      <c r="F2512" s="9"/>
      <c r="G2512" s="10"/>
      <c r="H2512" s="9"/>
      <c r="I2512" s="15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  <c r="AA2512" s="9"/>
    </row>
    <row r="2513">
      <c r="A2513" s="9"/>
      <c r="B2513" s="9"/>
      <c r="C2513" s="9"/>
      <c r="D2513" s="9"/>
      <c r="E2513" s="9"/>
      <c r="F2513" s="9"/>
      <c r="G2513" s="10"/>
      <c r="H2513" s="9"/>
      <c r="I2513" s="15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  <c r="AA2513" s="9"/>
    </row>
    <row r="2514">
      <c r="A2514" s="9"/>
      <c r="B2514" s="9"/>
      <c r="C2514" s="9"/>
      <c r="D2514" s="9"/>
      <c r="E2514" s="9"/>
      <c r="F2514" s="9"/>
      <c r="G2514" s="10"/>
      <c r="H2514" s="9"/>
      <c r="I2514" s="15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</row>
    <row r="2515">
      <c r="A2515" s="9"/>
      <c r="B2515" s="9"/>
      <c r="C2515" s="9"/>
      <c r="D2515" s="9"/>
      <c r="E2515" s="9"/>
      <c r="F2515" s="9"/>
      <c r="G2515" s="10"/>
      <c r="H2515" s="9"/>
      <c r="I2515" s="15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  <c r="AA2515" s="9"/>
    </row>
    <row r="2516">
      <c r="A2516" s="9"/>
      <c r="B2516" s="9"/>
      <c r="C2516" s="9"/>
      <c r="D2516" s="9"/>
      <c r="E2516" s="9"/>
      <c r="F2516" s="9"/>
      <c r="G2516" s="10"/>
      <c r="H2516" s="9"/>
      <c r="I2516" s="15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</row>
    <row r="2517">
      <c r="A2517" s="9"/>
      <c r="B2517" s="9"/>
      <c r="C2517" s="9"/>
      <c r="D2517" s="9"/>
      <c r="E2517" s="9"/>
      <c r="F2517" s="9"/>
      <c r="G2517" s="10"/>
      <c r="H2517" s="9"/>
      <c r="I2517" s="15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</row>
    <row r="2518">
      <c r="A2518" s="9"/>
      <c r="B2518" s="9"/>
      <c r="C2518" s="9"/>
      <c r="D2518" s="9"/>
      <c r="E2518" s="9"/>
      <c r="F2518" s="9"/>
      <c r="G2518" s="10"/>
      <c r="H2518" s="9"/>
      <c r="I2518" s="15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</row>
    <row r="2519">
      <c r="A2519" s="9"/>
      <c r="B2519" s="9"/>
      <c r="C2519" s="9"/>
      <c r="D2519" s="9"/>
      <c r="E2519" s="9"/>
      <c r="F2519" s="9"/>
      <c r="G2519" s="10"/>
      <c r="H2519" s="9"/>
      <c r="I2519" s="15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</row>
    <row r="2520">
      <c r="A2520" s="9"/>
      <c r="B2520" s="9"/>
      <c r="C2520" s="9"/>
      <c r="D2520" s="9"/>
      <c r="E2520" s="9"/>
      <c r="F2520" s="9"/>
      <c r="G2520" s="10"/>
      <c r="H2520" s="9"/>
      <c r="I2520" s="15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  <c r="AA2520" s="9"/>
    </row>
    <row r="2521">
      <c r="A2521" s="9"/>
      <c r="B2521" s="9"/>
      <c r="C2521" s="9"/>
      <c r="D2521" s="9"/>
      <c r="E2521" s="9"/>
      <c r="F2521" s="9"/>
      <c r="G2521" s="10"/>
      <c r="H2521" s="9"/>
      <c r="I2521" s="15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</row>
    <row r="2522">
      <c r="A2522" s="9"/>
      <c r="B2522" s="9"/>
      <c r="C2522" s="9"/>
      <c r="D2522" s="9"/>
      <c r="E2522" s="9"/>
      <c r="F2522" s="9"/>
      <c r="G2522" s="10"/>
      <c r="H2522" s="9"/>
      <c r="I2522" s="15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</row>
    <row r="2523">
      <c r="A2523" s="9"/>
      <c r="B2523" s="9"/>
      <c r="C2523" s="9"/>
      <c r="D2523" s="9"/>
      <c r="E2523" s="9"/>
      <c r="F2523" s="9"/>
      <c r="G2523" s="10"/>
      <c r="H2523" s="9"/>
      <c r="I2523" s="15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</row>
    <row r="2524">
      <c r="A2524" s="9"/>
      <c r="B2524" s="9"/>
      <c r="C2524" s="9"/>
      <c r="D2524" s="9"/>
      <c r="E2524" s="9"/>
      <c r="F2524" s="9"/>
      <c r="G2524" s="10"/>
      <c r="H2524" s="9"/>
      <c r="I2524" s="15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</row>
    <row r="2525">
      <c r="A2525" s="9"/>
      <c r="B2525" s="9"/>
      <c r="C2525" s="9"/>
      <c r="D2525" s="9"/>
      <c r="E2525" s="9"/>
      <c r="F2525" s="9"/>
      <c r="G2525" s="10"/>
      <c r="H2525" s="9"/>
      <c r="I2525" s="15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</row>
    <row r="2526">
      <c r="A2526" s="9"/>
      <c r="B2526" s="9"/>
      <c r="C2526" s="9"/>
      <c r="D2526" s="9"/>
      <c r="E2526" s="9"/>
      <c r="F2526" s="9"/>
      <c r="G2526" s="10"/>
      <c r="H2526" s="9"/>
      <c r="I2526" s="15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</row>
    <row r="2527">
      <c r="A2527" s="9"/>
      <c r="B2527" s="9"/>
      <c r="C2527" s="9"/>
      <c r="D2527" s="9"/>
      <c r="E2527" s="9"/>
      <c r="F2527" s="9"/>
      <c r="G2527" s="10"/>
      <c r="H2527" s="9"/>
      <c r="I2527" s="15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</row>
    <row r="2528">
      <c r="A2528" s="9"/>
      <c r="B2528" s="9"/>
      <c r="C2528" s="9"/>
      <c r="D2528" s="9"/>
      <c r="E2528" s="9"/>
      <c r="F2528" s="9"/>
      <c r="G2528" s="10"/>
      <c r="H2528" s="9"/>
      <c r="I2528" s="15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</row>
    <row r="2529">
      <c r="A2529" s="9"/>
      <c r="B2529" s="9"/>
      <c r="C2529" s="9"/>
      <c r="D2529" s="9"/>
      <c r="E2529" s="9"/>
      <c r="F2529" s="9"/>
      <c r="G2529" s="10"/>
      <c r="H2529" s="9"/>
      <c r="I2529" s="15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</row>
    <row r="2530">
      <c r="A2530" s="9"/>
      <c r="B2530" s="9"/>
      <c r="C2530" s="9"/>
      <c r="D2530" s="9"/>
      <c r="E2530" s="9"/>
      <c r="F2530" s="9"/>
      <c r="G2530" s="10"/>
      <c r="H2530" s="9"/>
      <c r="I2530" s="15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</row>
    <row r="2531">
      <c r="A2531" s="9"/>
      <c r="B2531" s="9"/>
      <c r="C2531" s="9"/>
      <c r="D2531" s="9"/>
      <c r="E2531" s="9"/>
      <c r="F2531" s="9"/>
      <c r="G2531" s="10"/>
      <c r="H2531" s="9"/>
      <c r="I2531" s="15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</row>
    <row r="2532">
      <c r="A2532" s="9"/>
      <c r="B2532" s="9"/>
      <c r="C2532" s="9"/>
      <c r="D2532" s="9"/>
      <c r="E2532" s="9"/>
      <c r="F2532" s="9"/>
      <c r="G2532" s="10"/>
      <c r="H2532" s="9"/>
      <c r="I2532" s="15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</row>
    <row r="2533">
      <c r="A2533" s="9"/>
      <c r="B2533" s="9"/>
      <c r="C2533" s="9"/>
      <c r="D2533" s="9"/>
      <c r="E2533" s="9"/>
      <c r="F2533" s="9"/>
      <c r="G2533" s="10"/>
      <c r="H2533" s="9"/>
      <c r="I2533" s="15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</row>
    <row r="2534">
      <c r="A2534" s="9"/>
      <c r="B2534" s="9"/>
      <c r="C2534" s="9"/>
      <c r="D2534" s="9"/>
      <c r="E2534" s="9"/>
      <c r="F2534" s="9"/>
      <c r="G2534" s="10"/>
      <c r="H2534" s="9"/>
      <c r="I2534" s="15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</row>
    <row r="2535">
      <c r="A2535" s="9"/>
      <c r="B2535" s="9"/>
      <c r="C2535" s="9"/>
      <c r="D2535" s="9"/>
      <c r="E2535" s="9"/>
      <c r="F2535" s="9"/>
      <c r="G2535" s="10"/>
      <c r="H2535" s="9"/>
      <c r="I2535" s="15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</row>
    <row r="2536">
      <c r="A2536" s="9"/>
      <c r="B2536" s="9"/>
      <c r="C2536" s="9"/>
      <c r="D2536" s="9"/>
      <c r="E2536" s="9"/>
      <c r="F2536" s="9"/>
      <c r="G2536" s="10"/>
      <c r="H2536" s="9"/>
      <c r="I2536" s="15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</row>
    <row r="2537">
      <c r="A2537" s="9"/>
      <c r="B2537" s="9"/>
      <c r="C2537" s="9"/>
      <c r="D2537" s="9"/>
      <c r="E2537" s="9"/>
      <c r="F2537" s="9"/>
      <c r="G2537" s="10"/>
      <c r="H2537" s="9"/>
      <c r="I2537" s="15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</row>
    <row r="2538">
      <c r="A2538" s="9"/>
      <c r="B2538" s="9"/>
      <c r="C2538" s="9"/>
      <c r="D2538" s="9"/>
      <c r="E2538" s="9"/>
      <c r="F2538" s="9"/>
      <c r="G2538" s="10"/>
      <c r="H2538" s="9"/>
      <c r="I2538" s="15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</row>
    <row r="2539">
      <c r="A2539" s="9"/>
      <c r="B2539" s="9"/>
      <c r="C2539" s="9"/>
      <c r="D2539" s="9"/>
      <c r="E2539" s="9"/>
      <c r="F2539" s="9"/>
      <c r="G2539" s="10"/>
      <c r="H2539" s="9"/>
      <c r="I2539" s="15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</row>
    <row r="2540">
      <c r="A2540" s="9"/>
      <c r="B2540" s="9"/>
      <c r="C2540" s="9"/>
      <c r="D2540" s="9"/>
      <c r="E2540" s="9"/>
      <c r="F2540" s="9"/>
      <c r="G2540" s="10"/>
      <c r="H2540" s="9"/>
      <c r="I2540" s="15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</row>
    <row r="2541">
      <c r="A2541" s="9"/>
      <c r="B2541" s="9"/>
      <c r="C2541" s="9"/>
      <c r="D2541" s="9"/>
      <c r="E2541" s="9"/>
      <c r="F2541" s="9"/>
      <c r="G2541" s="10"/>
      <c r="H2541" s="9"/>
      <c r="I2541" s="15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</row>
    <row r="2542">
      <c r="A2542" s="9"/>
      <c r="B2542" s="9"/>
      <c r="C2542" s="9"/>
      <c r="D2542" s="9"/>
      <c r="E2542" s="9"/>
      <c r="F2542" s="9"/>
      <c r="G2542" s="10"/>
      <c r="H2542" s="9"/>
      <c r="I2542" s="15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</row>
    <row r="2543">
      <c r="A2543" s="9"/>
      <c r="B2543" s="9"/>
      <c r="C2543" s="9"/>
      <c r="D2543" s="9"/>
      <c r="E2543" s="9"/>
      <c r="F2543" s="9"/>
      <c r="G2543" s="10"/>
      <c r="H2543" s="9"/>
      <c r="I2543" s="15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</row>
    <row r="2544">
      <c r="A2544" s="9"/>
      <c r="B2544" s="9"/>
      <c r="C2544" s="9"/>
      <c r="D2544" s="9"/>
      <c r="E2544" s="9"/>
      <c r="F2544" s="9"/>
      <c r="G2544" s="10"/>
      <c r="H2544" s="9"/>
      <c r="I2544" s="15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</row>
    <row r="2545">
      <c r="A2545" s="9"/>
      <c r="B2545" s="9"/>
      <c r="C2545" s="9"/>
      <c r="D2545" s="9"/>
      <c r="E2545" s="9"/>
      <c r="F2545" s="9"/>
      <c r="G2545" s="10"/>
      <c r="H2545" s="9"/>
      <c r="I2545" s="15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</row>
    <row r="2546">
      <c r="A2546" s="9"/>
      <c r="B2546" s="9"/>
      <c r="C2546" s="9"/>
      <c r="D2546" s="9"/>
      <c r="E2546" s="9"/>
      <c r="F2546" s="9"/>
      <c r="G2546" s="10"/>
      <c r="H2546" s="9"/>
      <c r="I2546" s="15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</row>
    <row r="2547">
      <c r="A2547" s="9"/>
      <c r="B2547" s="9"/>
      <c r="C2547" s="9"/>
      <c r="D2547" s="9"/>
      <c r="E2547" s="9"/>
      <c r="F2547" s="9"/>
      <c r="G2547" s="10"/>
      <c r="H2547" s="9"/>
      <c r="I2547" s="15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</row>
    <row r="2548">
      <c r="A2548" s="9"/>
      <c r="B2548" s="9"/>
      <c r="C2548" s="9"/>
      <c r="D2548" s="9"/>
      <c r="E2548" s="9"/>
      <c r="F2548" s="9"/>
      <c r="G2548" s="10"/>
      <c r="H2548" s="9"/>
      <c r="I2548" s="15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</row>
    <row r="2549">
      <c r="A2549" s="9"/>
      <c r="B2549" s="9"/>
      <c r="C2549" s="9"/>
      <c r="D2549" s="9"/>
      <c r="E2549" s="9"/>
      <c r="F2549" s="9"/>
      <c r="G2549" s="10"/>
      <c r="H2549" s="9"/>
      <c r="I2549" s="15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</row>
    <row r="2550">
      <c r="A2550" s="9"/>
      <c r="B2550" s="9"/>
      <c r="C2550" s="9"/>
      <c r="D2550" s="9"/>
      <c r="E2550" s="9"/>
      <c r="F2550" s="9"/>
      <c r="G2550" s="10"/>
      <c r="H2550" s="9"/>
      <c r="I2550" s="15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</row>
    <row r="2551">
      <c r="A2551" s="9"/>
      <c r="B2551" s="9"/>
      <c r="C2551" s="9"/>
      <c r="D2551" s="9"/>
      <c r="E2551" s="9"/>
      <c r="F2551" s="9"/>
      <c r="G2551" s="10"/>
      <c r="H2551" s="9"/>
      <c r="I2551" s="15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</row>
    <row r="2552">
      <c r="A2552" s="9"/>
      <c r="B2552" s="9"/>
      <c r="C2552" s="9"/>
      <c r="D2552" s="9"/>
      <c r="E2552" s="9"/>
      <c r="F2552" s="9"/>
      <c r="G2552" s="10"/>
      <c r="H2552" s="9"/>
      <c r="I2552" s="15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</row>
    <row r="2553">
      <c r="A2553" s="9"/>
      <c r="B2553" s="9"/>
      <c r="C2553" s="9"/>
      <c r="D2553" s="9"/>
      <c r="E2553" s="9"/>
      <c r="F2553" s="9"/>
      <c r="G2553" s="10"/>
      <c r="H2553" s="9"/>
      <c r="I2553" s="15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</row>
    <row r="2554">
      <c r="A2554" s="9"/>
      <c r="B2554" s="9"/>
      <c r="C2554" s="9"/>
      <c r="D2554" s="9"/>
      <c r="E2554" s="9"/>
      <c r="F2554" s="9"/>
      <c r="G2554" s="10"/>
      <c r="H2554" s="9"/>
      <c r="I2554" s="15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  <c r="AA2554" s="9"/>
    </row>
    <row r="2555">
      <c r="A2555" s="9"/>
      <c r="B2555" s="9"/>
      <c r="C2555" s="9"/>
      <c r="D2555" s="9"/>
      <c r="E2555" s="9"/>
      <c r="F2555" s="9"/>
      <c r="G2555" s="10"/>
      <c r="H2555" s="9"/>
      <c r="I2555" s="15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</row>
    <row r="2556">
      <c r="A2556" s="9"/>
      <c r="B2556" s="9"/>
      <c r="C2556" s="9"/>
      <c r="D2556" s="9"/>
      <c r="E2556" s="9"/>
      <c r="F2556" s="9"/>
      <c r="G2556" s="10"/>
      <c r="H2556" s="9"/>
      <c r="I2556" s="15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</row>
    <row r="2557">
      <c r="A2557" s="9"/>
      <c r="B2557" s="9"/>
      <c r="C2557" s="9"/>
      <c r="D2557" s="9"/>
      <c r="E2557" s="9"/>
      <c r="F2557" s="9"/>
      <c r="G2557" s="10"/>
      <c r="H2557" s="9"/>
      <c r="I2557" s="15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</row>
    <row r="2558">
      <c r="A2558" s="9"/>
      <c r="B2558" s="9"/>
      <c r="C2558" s="9"/>
      <c r="D2558" s="9"/>
      <c r="E2558" s="9"/>
      <c r="F2558" s="9"/>
      <c r="G2558" s="10"/>
      <c r="H2558" s="9"/>
      <c r="I2558" s="15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</row>
    <row r="2559">
      <c r="A2559" s="9"/>
      <c r="B2559" s="9"/>
      <c r="C2559" s="9"/>
      <c r="D2559" s="9"/>
      <c r="E2559" s="9"/>
      <c r="F2559" s="9"/>
      <c r="G2559" s="10"/>
      <c r="H2559" s="9"/>
      <c r="I2559" s="15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</row>
    <row r="2560">
      <c r="A2560" s="9"/>
      <c r="B2560" s="9"/>
      <c r="C2560" s="9"/>
      <c r="D2560" s="9"/>
      <c r="E2560" s="9"/>
      <c r="F2560" s="9"/>
      <c r="G2560" s="10"/>
      <c r="H2560" s="9"/>
      <c r="I2560" s="15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</row>
    <row r="2561">
      <c r="A2561" s="9"/>
      <c r="B2561" s="9"/>
      <c r="C2561" s="9"/>
      <c r="D2561" s="9"/>
      <c r="E2561" s="9"/>
      <c r="F2561" s="9"/>
      <c r="G2561" s="10"/>
      <c r="H2561" s="9"/>
      <c r="I2561" s="15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</row>
    <row r="2562">
      <c r="A2562" s="9"/>
      <c r="B2562" s="9"/>
      <c r="C2562" s="9"/>
      <c r="D2562" s="9"/>
      <c r="E2562" s="9"/>
      <c r="F2562" s="9"/>
      <c r="G2562" s="10"/>
      <c r="H2562" s="9"/>
      <c r="I2562" s="15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</row>
    <row r="2563">
      <c r="A2563" s="9"/>
      <c r="B2563" s="9"/>
      <c r="C2563" s="9"/>
      <c r="D2563" s="9"/>
      <c r="E2563" s="9"/>
      <c r="F2563" s="9"/>
      <c r="G2563" s="10"/>
      <c r="H2563" s="9"/>
      <c r="I2563" s="15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</row>
    <row r="2564">
      <c r="A2564" s="9"/>
      <c r="B2564" s="9"/>
      <c r="C2564" s="9"/>
      <c r="D2564" s="9"/>
      <c r="E2564" s="9"/>
      <c r="F2564" s="9"/>
      <c r="G2564" s="10"/>
      <c r="H2564" s="9"/>
      <c r="I2564" s="15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</row>
    <row r="2565">
      <c r="A2565" s="9"/>
      <c r="B2565" s="9"/>
      <c r="C2565" s="9"/>
      <c r="D2565" s="9"/>
      <c r="E2565" s="9"/>
      <c r="F2565" s="9"/>
      <c r="G2565" s="10"/>
      <c r="H2565" s="9"/>
      <c r="I2565" s="15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  <c r="AA2565" s="9"/>
    </row>
    <row r="2566">
      <c r="A2566" s="9"/>
      <c r="B2566" s="9"/>
      <c r="C2566" s="9"/>
      <c r="D2566" s="9"/>
      <c r="E2566" s="9"/>
      <c r="F2566" s="9"/>
      <c r="G2566" s="10"/>
      <c r="H2566" s="9"/>
      <c r="I2566" s="15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</row>
    <row r="2567">
      <c r="A2567" s="9"/>
      <c r="B2567" s="9"/>
      <c r="C2567" s="9"/>
      <c r="D2567" s="9"/>
      <c r="E2567" s="9"/>
      <c r="F2567" s="9"/>
      <c r="G2567" s="10"/>
      <c r="H2567" s="9"/>
      <c r="I2567" s="15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</row>
    <row r="2568">
      <c r="A2568" s="9"/>
      <c r="B2568" s="9"/>
      <c r="C2568" s="9"/>
      <c r="D2568" s="9"/>
      <c r="E2568" s="9"/>
      <c r="F2568" s="9"/>
      <c r="G2568" s="10"/>
      <c r="H2568" s="9"/>
      <c r="I2568" s="15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</row>
    <row r="2569">
      <c r="A2569" s="9"/>
      <c r="B2569" s="9"/>
      <c r="C2569" s="9"/>
      <c r="D2569" s="9"/>
      <c r="E2569" s="9"/>
      <c r="F2569" s="9"/>
      <c r="G2569" s="10"/>
      <c r="H2569" s="9"/>
      <c r="I2569" s="15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</row>
    <row r="2570">
      <c r="A2570" s="9"/>
      <c r="B2570" s="9"/>
      <c r="C2570" s="9"/>
      <c r="D2570" s="9"/>
      <c r="E2570" s="9"/>
      <c r="F2570" s="9"/>
      <c r="G2570" s="10"/>
      <c r="H2570" s="9"/>
      <c r="I2570" s="15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</row>
    <row r="2571">
      <c r="A2571" s="9"/>
      <c r="B2571" s="9"/>
      <c r="C2571" s="9"/>
      <c r="D2571" s="9"/>
      <c r="E2571" s="9"/>
      <c r="F2571" s="9"/>
      <c r="G2571" s="10"/>
      <c r="H2571" s="9"/>
      <c r="I2571" s="15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</row>
    <row r="2572">
      <c r="A2572" s="9"/>
      <c r="B2572" s="9"/>
      <c r="C2572" s="9"/>
      <c r="D2572" s="9"/>
      <c r="E2572" s="9"/>
      <c r="F2572" s="9"/>
      <c r="G2572" s="10"/>
      <c r="H2572" s="9"/>
      <c r="I2572" s="15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</row>
    <row r="2573">
      <c r="A2573" s="9"/>
      <c r="B2573" s="9"/>
      <c r="C2573" s="9"/>
      <c r="D2573" s="9"/>
      <c r="E2573" s="9"/>
      <c r="F2573" s="9"/>
      <c r="G2573" s="10"/>
      <c r="H2573" s="9"/>
      <c r="I2573" s="15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</row>
    <row r="2574">
      <c r="A2574" s="9"/>
      <c r="B2574" s="9"/>
      <c r="C2574" s="9"/>
      <c r="D2574" s="9"/>
      <c r="E2574" s="9"/>
      <c r="F2574" s="9"/>
      <c r="G2574" s="10"/>
      <c r="H2574" s="9"/>
      <c r="I2574" s="15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</row>
    <row r="2575">
      <c r="A2575" s="9"/>
      <c r="B2575" s="9"/>
      <c r="C2575" s="9"/>
      <c r="D2575" s="9"/>
      <c r="E2575" s="9"/>
      <c r="F2575" s="9"/>
      <c r="G2575" s="10"/>
      <c r="H2575" s="9"/>
      <c r="I2575" s="15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</row>
    <row r="2576">
      <c r="A2576" s="9"/>
      <c r="B2576" s="9"/>
      <c r="C2576" s="9"/>
      <c r="D2576" s="9"/>
      <c r="E2576" s="9"/>
      <c r="F2576" s="9"/>
      <c r="G2576" s="10"/>
      <c r="H2576" s="9"/>
      <c r="I2576" s="15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</row>
    <row r="2577">
      <c r="A2577" s="9"/>
      <c r="B2577" s="9"/>
      <c r="C2577" s="9"/>
      <c r="D2577" s="9"/>
      <c r="E2577" s="9"/>
      <c r="F2577" s="9"/>
      <c r="G2577" s="10"/>
      <c r="H2577" s="9"/>
      <c r="I2577" s="15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</row>
    <row r="2578">
      <c r="A2578" s="9"/>
      <c r="B2578" s="9"/>
      <c r="C2578" s="9"/>
      <c r="D2578" s="9"/>
      <c r="E2578" s="9"/>
      <c r="F2578" s="9"/>
      <c r="G2578" s="10"/>
      <c r="H2578" s="9"/>
      <c r="I2578" s="15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</row>
    <row r="2579">
      <c r="A2579" s="9"/>
      <c r="B2579" s="9"/>
      <c r="C2579" s="9"/>
      <c r="D2579" s="9"/>
      <c r="E2579" s="9"/>
      <c r="F2579" s="9"/>
      <c r="G2579" s="10"/>
      <c r="H2579" s="9"/>
      <c r="I2579" s="15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</row>
    <row r="2580">
      <c r="A2580" s="9"/>
      <c r="B2580" s="9"/>
      <c r="C2580" s="9"/>
      <c r="D2580" s="9"/>
      <c r="E2580" s="9"/>
      <c r="F2580" s="9"/>
      <c r="G2580" s="10"/>
      <c r="H2580" s="9"/>
      <c r="I2580" s="15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</row>
    <row r="2581">
      <c r="A2581" s="9"/>
      <c r="B2581" s="9"/>
      <c r="C2581" s="9"/>
      <c r="D2581" s="9"/>
      <c r="E2581" s="9"/>
      <c r="F2581" s="9"/>
      <c r="G2581" s="10"/>
      <c r="H2581" s="9"/>
      <c r="I2581" s="15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</row>
    <row r="2582">
      <c r="A2582" s="9"/>
      <c r="B2582" s="9"/>
      <c r="C2582" s="9"/>
      <c r="D2582" s="9"/>
      <c r="E2582" s="9"/>
      <c r="F2582" s="9"/>
      <c r="G2582" s="10"/>
      <c r="H2582" s="9"/>
      <c r="I2582" s="15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</row>
    <row r="2583">
      <c r="A2583" s="9"/>
      <c r="B2583" s="9"/>
      <c r="C2583" s="9"/>
      <c r="D2583" s="9"/>
      <c r="E2583" s="9"/>
      <c r="F2583" s="9"/>
      <c r="G2583" s="10"/>
      <c r="H2583" s="9"/>
      <c r="I2583" s="15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</row>
    <row r="2584">
      <c r="A2584" s="9"/>
      <c r="B2584" s="9"/>
      <c r="C2584" s="9"/>
      <c r="D2584" s="9"/>
      <c r="E2584" s="9"/>
      <c r="F2584" s="9"/>
      <c r="G2584" s="10"/>
      <c r="H2584" s="9"/>
      <c r="I2584" s="15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</row>
    <row r="2585">
      <c r="A2585" s="9"/>
      <c r="B2585" s="9"/>
      <c r="C2585" s="9"/>
      <c r="D2585" s="9"/>
      <c r="E2585" s="9"/>
      <c r="F2585" s="9"/>
      <c r="G2585" s="10"/>
      <c r="H2585" s="9"/>
      <c r="I2585" s="15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</row>
    <row r="2586">
      <c r="A2586" s="9"/>
      <c r="B2586" s="9"/>
      <c r="C2586" s="9"/>
      <c r="D2586" s="9"/>
      <c r="E2586" s="9"/>
      <c r="F2586" s="9"/>
      <c r="G2586" s="10"/>
      <c r="H2586" s="9"/>
      <c r="I2586" s="15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</row>
    <row r="2587">
      <c r="A2587" s="9"/>
      <c r="B2587" s="9"/>
      <c r="C2587" s="9"/>
      <c r="D2587" s="9"/>
      <c r="E2587" s="9"/>
      <c r="F2587" s="9"/>
      <c r="G2587" s="10"/>
      <c r="H2587" s="9"/>
      <c r="I2587" s="15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</row>
    <row r="2588">
      <c r="A2588" s="9"/>
      <c r="B2588" s="9"/>
      <c r="C2588" s="9"/>
      <c r="D2588" s="9"/>
      <c r="E2588" s="9"/>
      <c r="F2588" s="9"/>
      <c r="G2588" s="10"/>
      <c r="H2588" s="9"/>
      <c r="I2588" s="15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</row>
    <row r="2589">
      <c r="A2589" s="9"/>
      <c r="B2589" s="9"/>
      <c r="C2589" s="9"/>
      <c r="D2589" s="9"/>
      <c r="E2589" s="9"/>
      <c r="F2589" s="9"/>
      <c r="G2589" s="10"/>
      <c r="H2589" s="9"/>
      <c r="I2589" s="15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</row>
    <row r="2590">
      <c r="A2590" s="9"/>
      <c r="B2590" s="9"/>
      <c r="C2590" s="9"/>
      <c r="D2590" s="9"/>
      <c r="E2590" s="9"/>
      <c r="F2590" s="9"/>
      <c r="G2590" s="10"/>
      <c r="H2590" s="9"/>
      <c r="I2590" s="15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</row>
    <row r="2591">
      <c r="A2591" s="9"/>
      <c r="B2591" s="9"/>
      <c r="C2591" s="9"/>
      <c r="D2591" s="9"/>
      <c r="E2591" s="9"/>
      <c r="F2591" s="9"/>
      <c r="G2591" s="10"/>
      <c r="H2591" s="9"/>
      <c r="I2591" s="15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</row>
    <row r="2592">
      <c r="A2592" s="9"/>
      <c r="B2592" s="9"/>
      <c r="C2592" s="9"/>
      <c r="D2592" s="9"/>
      <c r="E2592" s="9"/>
      <c r="F2592" s="9"/>
      <c r="G2592" s="10"/>
      <c r="H2592" s="9"/>
      <c r="I2592" s="15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</row>
    <row r="2593">
      <c r="A2593" s="9"/>
      <c r="B2593" s="9"/>
      <c r="C2593" s="9"/>
      <c r="D2593" s="9"/>
      <c r="E2593" s="9"/>
      <c r="F2593" s="9"/>
      <c r="G2593" s="10"/>
      <c r="H2593" s="9"/>
      <c r="I2593" s="15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</row>
    <row r="2594">
      <c r="A2594" s="9"/>
      <c r="B2594" s="9"/>
      <c r="C2594" s="9"/>
      <c r="D2594" s="9"/>
      <c r="E2594" s="9"/>
      <c r="F2594" s="9"/>
      <c r="G2594" s="10"/>
      <c r="H2594" s="9"/>
      <c r="I2594" s="15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</row>
    <row r="2595">
      <c r="A2595" s="9"/>
      <c r="B2595" s="9"/>
      <c r="C2595" s="9"/>
      <c r="D2595" s="9"/>
      <c r="E2595" s="9"/>
      <c r="F2595" s="9"/>
      <c r="G2595" s="10"/>
      <c r="H2595" s="9"/>
      <c r="I2595" s="15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</row>
    <row r="2596">
      <c r="A2596" s="9"/>
      <c r="B2596" s="9"/>
      <c r="C2596" s="9"/>
      <c r="D2596" s="9"/>
      <c r="E2596" s="9"/>
      <c r="F2596" s="9"/>
      <c r="G2596" s="10"/>
      <c r="H2596" s="9"/>
      <c r="I2596" s="15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</row>
    <row r="2597">
      <c r="A2597" s="9"/>
      <c r="B2597" s="9"/>
      <c r="C2597" s="9"/>
      <c r="D2597" s="9"/>
      <c r="E2597" s="9"/>
      <c r="F2597" s="9"/>
      <c r="G2597" s="10"/>
      <c r="H2597" s="9"/>
      <c r="I2597" s="15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</row>
    <row r="2598">
      <c r="A2598" s="9"/>
      <c r="B2598" s="9"/>
      <c r="C2598" s="9"/>
      <c r="D2598" s="9"/>
      <c r="E2598" s="9"/>
      <c r="F2598" s="9"/>
      <c r="G2598" s="10"/>
      <c r="H2598" s="9"/>
      <c r="I2598" s="15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</row>
    <row r="2599">
      <c r="A2599" s="9"/>
      <c r="B2599" s="9"/>
      <c r="C2599" s="9"/>
      <c r="D2599" s="9"/>
      <c r="E2599" s="9"/>
      <c r="F2599" s="9"/>
      <c r="G2599" s="10"/>
      <c r="H2599" s="9"/>
      <c r="I2599" s="15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</row>
    <row r="2600">
      <c r="A2600" s="9"/>
      <c r="B2600" s="9"/>
      <c r="C2600" s="9"/>
      <c r="D2600" s="9"/>
      <c r="E2600" s="9"/>
      <c r="F2600" s="9"/>
      <c r="G2600" s="10"/>
      <c r="H2600" s="9"/>
      <c r="I2600" s="15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</row>
    <row r="2601">
      <c r="A2601" s="9"/>
      <c r="B2601" s="9"/>
      <c r="C2601" s="9"/>
      <c r="D2601" s="9"/>
      <c r="E2601" s="9"/>
      <c r="F2601" s="9"/>
      <c r="G2601" s="10"/>
      <c r="H2601" s="9"/>
      <c r="I2601" s="15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</row>
    <row r="2602">
      <c r="A2602" s="9"/>
      <c r="B2602" s="9"/>
      <c r="C2602" s="9"/>
      <c r="D2602" s="9"/>
      <c r="E2602" s="9"/>
      <c r="F2602" s="9"/>
      <c r="G2602" s="10"/>
      <c r="H2602" s="9"/>
      <c r="I2602" s="15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</row>
    <row r="2603">
      <c r="A2603" s="9"/>
      <c r="B2603" s="9"/>
      <c r="C2603" s="9"/>
      <c r="D2603" s="9"/>
      <c r="E2603" s="9"/>
      <c r="F2603" s="9"/>
      <c r="G2603" s="10"/>
      <c r="H2603" s="9"/>
      <c r="I2603" s="15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</row>
    <row r="2604">
      <c r="A2604" s="9"/>
      <c r="B2604" s="9"/>
      <c r="C2604" s="9"/>
      <c r="D2604" s="9"/>
      <c r="E2604" s="9"/>
      <c r="F2604" s="9"/>
      <c r="G2604" s="10"/>
      <c r="H2604" s="9"/>
      <c r="I2604" s="15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</row>
    <row r="2605">
      <c r="A2605" s="9"/>
      <c r="B2605" s="9"/>
      <c r="C2605" s="9"/>
      <c r="D2605" s="9"/>
      <c r="E2605" s="9"/>
      <c r="F2605" s="9"/>
      <c r="G2605" s="10"/>
      <c r="H2605" s="9"/>
      <c r="I2605" s="15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</row>
    <row r="2606">
      <c r="A2606" s="9"/>
      <c r="B2606" s="9"/>
      <c r="C2606" s="9"/>
      <c r="D2606" s="9"/>
      <c r="E2606" s="9"/>
      <c r="F2606" s="9"/>
      <c r="G2606" s="10"/>
      <c r="H2606" s="9"/>
      <c r="I2606" s="15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</row>
    <row r="2607">
      <c r="A2607" s="9"/>
      <c r="B2607" s="9"/>
      <c r="C2607" s="9"/>
      <c r="D2607" s="9"/>
      <c r="E2607" s="9"/>
      <c r="F2607" s="9"/>
      <c r="G2607" s="10"/>
      <c r="H2607" s="9"/>
      <c r="I2607" s="15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</row>
    <row r="2608">
      <c r="A2608" s="9"/>
      <c r="B2608" s="9"/>
      <c r="C2608" s="9"/>
      <c r="D2608" s="9"/>
      <c r="E2608" s="9"/>
      <c r="F2608" s="9"/>
      <c r="G2608" s="10"/>
      <c r="H2608" s="9"/>
      <c r="I2608" s="15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</row>
    <row r="2609">
      <c r="A2609" s="9"/>
      <c r="B2609" s="9"/>
      <c r="C2609" s="9"/>
      <c r="D2609" s="9"/>
      <c r="E2609" s="9"/>
      <c r="F2609" s="9"/>
      <c r="G2609" s="10"/>
      <c r="H2609" s="9"/>
      <c r="I2609" s="15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</row>
    <row r="2610">
      <c r="A2610" s="9"/>
      <c r="B2610" s="9"/>
      <c r="C2610" s="9"/>
      <c r="D2610" s="9"/>
      <c r="E2610" s="9"/>
      <c r="F2610" s="9"/>
      <c r="G2610" s="10"/>
      <c r="H2610" s="9"/>
      <c r="I2610" s="15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</row>
    <row r="2611">
      <c r="A2611" s="9"/>
      <c r="B2611" s="9"/>
      <c r="C2611" s="9"/>
      <c r="D2611" s="9"/>
      <c r="E2611" s="9"/>
      <c r="F2611" s="9"/>
      <c r="G2611" s="10"/>
      <c r="H2611" s="9"/>
      <c r="I2611" s="15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</row>
    <row r="2612">
      <c r="A2612" s="9"/>
      <c r="B2612" s="9"/>
      <c r="C2612" s="9"/>
      <c r="D2612" s="9"/>
      <c r="E2612" s="9"/>
      <c r="F2612" s="9"/>
      <c r="G2612" s="10"/>
      <c r="H2612" s="9"/>
      <c r="I2612" s="15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</row>
    <row r="2613">
      <c r="A2613" s="9"/>
      <c r="B2613" s="9"/>
      <c r="C2613" s="9"/>
      <c r="D2613" s="9"/>
      <c r="E2613" s="9"/>
      <c r="F2613" s="9"/>
      <c r="G2613" s="10"/>
      <c r="H2613" s="9"/>
      <c r="I2613" s="15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  <c r="AA2613" s="9"/>
    </row>
    <row r="2614">
      <c r="A2614" s="9"/>
      <c r="B2614" s="9"/>
      <c r="C2614" s="9"/>
      <c r="D2614" s="9"/>
      <c r="E2614" s="9"/>
      <c r="F2614" s="9"/>
      <c r="G2614" s="10"/>
      <c r="H2614" s="9"/>
      <c r="I2614" s="15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  <c r="AA2614" s="9"/>
    </row>
    <row r="2615">
      <c r="A2615" s="9"/>
      <c r="B2615" s="9"/>
      <c r="C2615" s="9"/>
      <c r="D2615" s="9"/>
      <c r="E2615" s="9"/>
      <c r="F2615" s="9"/>
      <c r="G2615" s="10"/>
      <c r="H2615" s="9"/>
      <c r="I2615" s="15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</row>
    <row r="2616">
      <c r="A2616" s="9"/>
      <c r="B2616" s="9"/>
      <c r="C2616" s="9"/>
      <c r="D2616" s="9"/>
      <c r="E2616" s="9"/>
      <c r="F2616" s="9"/>
      <c r="G2616" s="10"/>
      <c r="H2616" s="9"/>
      <c r="I2616" s="15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</row>
    <row r="2617">
      <c r="A2617" s="9"/>
      <c r="B2617" s="9"/>
      <c r="C2617" s="9"/>
      <c r="D2617" s="9"/>
      <c r="E2617" s="9"/>
      <c r="F2617" s="9"/>
      <c r="G2617" s="10"/>
      <c r="H2617" s="9"/>
      <c r="I2617" s="15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  <c r="AA2617" s="9"/>
    </row>
    <row r="2618">
      <c r="A2618" s="9"/>
      <c r="B2618" s="9"/>
      <c r="C2618" s="9"/>
      <c r="D2618" s="9"/>
      <c r="E2618" s="9"/>
      <c r="F2618" s="9"/>
      <c r="G2618" s="10"/>
      <c r="H2618" s="9"/>
      <c r="I2618" s="15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  <c r="AA2618" s="9"/>
    </row>
    <row r="2619">
      <c r="A2619" s="9"/>
      <c r="B2619" s="9"/>
      <c r="C2619" s="9"/>
      <c r="D2619" s="9"/>
      <c r="E2619" s="9"/>
      <c r="F2619" s="9"/>
      <c r="G2619" s="10"/>
      <c r="H2619" s="9"/>
      <c r="I2619" s="15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  <c r="AA2619" s="9"/>
    </row>
    <row r="2620">
      <c r="A2620" s="9"/>
      <c r="B2620" s="9"/>
      <c r="C2620" s="9"/>
      <c r="D2620" s="9"/>
      <c r="E2620" s="9"/>
      <c r="F2620" s="9"/>
      <c r="G2620" s="10"/>
      <c r="H2620" s="9"/>
      <c r="I2620" s="15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  <c r="AA2620" s="9"/>
    </row>
    <row r="2621">
      <c r="A2621" s="9"/>
      <c r="B2621" s="9"/>
      <c r="C2621" s="9"/>
      <c r="D2621" s="9"/>
      <c r="E2621" s="9"/>
      <c r="F2621" s="9"/>
      <c r="G2621" s="10"/>
      <c r="H2621" s="9"/>
      <c r="I2621" s="15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</row>
    <row r="2622">
      <c r="A2622" s="9"/>
      <c r="B2622" s="9"/>
      <c r="C2622" s="9"/>
      <c r="D2622" s="9"/>
      <c r="E2622" s="9"/>
      <c r="F2622" s="9"/>
      <c r="G2622" s="10"/>
      <c r="H2622" s="9"/>
      <c r="I2622" s="15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  <c r="AA2622" s="9"/>
    </row>
    <row r="2623">
      <c r="A2623" s="9"/>
      <c r="B2623" s="9"/>
      <c r="C2623" s="9"/>
      <c r="D2623" s="9"/>
      <c r="E2623" s="9"/>
      <c r="F2623" s="9"/>
      <c r="G2623" s="10"/>
      <c r="H2623" s="9"/>
      <c r="I2623" s="15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  <c r="AA2623" s="9"/>
    </row>
    <row r="2624">
      <c r="A2624" s="9"/>
      <c r="B2624" s="9"/>
      <c r="C2624" s="9"/>
      <c r="D2624" s="9"/>
      <c r="E2624" s="9"/>
      <c r="F2624" s="9"/>
      <c r="G2624" s="10"/>
      <c r="H2624" s="9"/>
      <c r="I2624" s="15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  <c r="AA2624" s="9"/>
    </row>
    <row r="2625">
      <c r="A2625" s="9"/>
      <c r="B2625" s="9"/>
      <c r="C2625" s="9"/>
      <c r="D2625" s="9"/>
      <c r="E2625" s="9"/>
      <c r="F2625" s="9"/>
      <c r="G2625" s="10"/>
      <c r="H2625" s="9"/>
      <c r="I2625" s="15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  <c r="AA2625" s="9"/>
    </row>
    <row r="2626">
      <c r="A2626" s="9"/>
      <c r="B2626" s="9"/>
      <c r="C2626" s="9"/>
      <c r="D2626" s="9"/>
      <c r="E2626" s="9"/>
      <c r="F2626" s="9"/>
      <c r="G2626" s="10"/>
      <c r="H2626" s="9"/>
      <c r="I2626" s="15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  <c r="AA2626" s="9"/>
    </row>
    <row r="2627">
      <c r="A2627" s="9"/>
      <c r="B2627" s="9"/>
      <c r="C2627" s="9"/>
      <c r="D2627" s="9"/>
      <c r="E2627" s="9"/>
      <c r="F2627" s="9"/>
      <c r="G2627" s="10"/>
      <c r="H2627" s="9"/>
      <c r="I2627" s="15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  <c r="AA2627" s="9"/>
    </row>
    <row r="2628">
      <c r="A2628" s="9"/>
      <c r="B2628" s="9"/>
      <c r="C2628" s="9"/>
      <c r="D2628" s="9"/>
      <c r="E2628" s="9"/>
      <c r="F2628" s="9"/>
      <c r="G2628" s="10"/>
      <c r="H2628" s="9"/>
      <c r="I2628" s="15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  <c r="AA2628" s="9"/>
    </row>
    <row r="2629">
      <c r="A2629" s="9"/>
      <c r="B2629" s="9"/>
      <c r="C2629" s="9"/>
      <c r="D2629" s="9"/>
      <c r="E2629" s="9"/>
      <c r="F2629" s="9"/>
      <c r="G2629" s="10"/>
      <c r="H2629" s="9"/>
      <c r="I2629" s="15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  <c r="AA2629" s="9"/>
    </row>
    <row r="2630">
      <c r="A2630" s="9"/>
      <c r="B2630" s="9"/>
      <c r="C2630" s="9"/>
      <c r="D2630" s="9"/>
      <c r="E2630" s="9"/>
      <c r="F2630" s="9"/>
      <c r="G2630" s="10"/>
      <c r="H2630" s="9"/>
      <c r="I2630" s="15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  <c r="AA2630" s="9"/>
    </row>
    <row r="2631">
      <c r="A2631" s="9"/>
      <c r="B2631" s="9"/>
      <c r="C2631" s="9"/>
      <c r="D2631" s="9"/>
      <c r="E2631" s="9"/>
      <c r="F2631" s="9"/>
      <c r="G2631" s="10"/>
      <c r="H2631" s="9"/>
      <c r="I2631" s="15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  <c r="AA2631" s="9"/>
    </row>
    <row r="2632">
      <c r="A2632" s="9"/>
      <c r="B2632" s="9"/>
      <c r="C2632" s="9"/>
      <c r="D2632" s="9"/>
      <c r="E2632" s="9"/>
      <c r="F2632" s="9"/>
      <c r="G2632" s="10"/>
      <c r="H2632" s="9"/>
      <c r="I2632" s="15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  <c r="AA2632" s="9"/>
    </row>
    <row r="2633">
      <c r="A2633" s="9"/>
      <c r="B2633" s="9"/>
      <c r="C2633" s="9"/>
      <c r="D2633" s="9"/>
      <c r="E2633" s="9"/>
      <c r="F2633" s="9"/>
      <c r="G2633" s="10"/>
      <c r="H2633" s="9"/>
      <c r="I2633" s="15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  <c r="AA2633" s="9"/>
    </row>
    <row r="2634">
      <c r="A2634" s="9"/>
      <c r="B2634" s="9"/>
      <c r="C2634" s="9"/>
      <c r="D2634" s="9"/>
      <c r="E2634" s="9"/>
      <c r="F2634" s="9"/>
      <c r="G2634" s="10"/>
      <c r="H2634" s="9"/>
      <c r="I2634" s="15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  <c r="AA2634" s="9"/>
    </row>
    <row r="2635">
      <c r="A2635" s="9"/>
      <c r="B2635" s="9"/>
      <c r="C2635" s="9"/>
      <c r="D2635" s="9"/>
      <c r="E2635" s="9"/>
      <c r="F2635" s="9"/>
      <c r="G2635" s="10"/>
      <c r="H2635" s="9"/>
      <c r="I2635" s="15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  <c r="AA2635" s="9"/>
    </row>
    <row r="2636">
      <c r="A2636" s="9"/>
      <c r="B2636" s="9"/>
      <c r="C2636" s="9"/>
      <c r="D2636" s="9"/>
      <c r="E2636" s="9"/>
      <c r="F2636" s="9"/>
      <c r="G2636" s="10"/>
      <c r="H2636" s="9"/>
      <c r="I2636" s="15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  <c r="AA2636" s="9"/>
    </row>
    <row r="2637">
      <c r="A2637" s="9"/>
      <c r="B2637" s="9"/>
      <c r="C2637" s="9"/>
      <c r="D2637" s="9"/>
      <c r="E2637" s="9"/>
      <c r="F2637" s="9"/>
      <c r="G2637" s="10"/>
      <c r="H2637" s="9"/>
      <c r="I2637" s="15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  <c r="AA2637" s="9"/>
    </row>
    <row r="2638">
      <c r="A2638" s="9"/>
      <c r="B2638" s="9"/>
      <c r="C2638" s="9"/>
      <c r="D2638" s="9"/>
      <c r="E2638" s="9"/>
      <c r="F2638" s="9"/>
      <c r="G2638" s="10"/>
      <c r="H2638" s="9"/>
      <c r="I2638" s="15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  <c r="AA2638" s="9"/>
    </row>
    <row r="2639">
      <c r="A2639" s="9"/>
      <c r="B2639" s="9"/>
      <c r="C2639" s="9"/>
      <c r="D2639" s="9"/>
      <c r="E2639" s="9"/>
      <c r="F2639" s="9"/>
      <c r="G2639" s="10"/>
      <c r="H2639" s="9"/>
      <c r="I2639" s="15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  <c r="AA2639" s="9"/>
    </row>
    <row r="2640">
      <c r="A2640" s="9"/>
      <c r="B2640" s="9"/>
      <c r="C2640" s="9"/>
      <c r="D2640" s="9"/>
      <c r="E2640" s="9"/>
      <c r="F2640" s="9"/>
      <c r="G2640" s="10"/>
      <c r="H2640" s="9"/>
      <c r="I2640" s="15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  <c r="AA2640" s="9"/>
    </row>
    <row r="2641">
      <c r="A2641" s="9"/>
      <c r="B2641" s="9"/>
      <c r="C2641" s="9"/>
      <c r="D2641" s="9"/>
      <c r="E2641" s="9"/>
      <c r="F2641" s="9"/>
      <c r="G2641" s="10"/>
      <c r="H2641" s="9"/>
      <c r="I2641" s="15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  <c r="AA2641" s="9"/>
    </row>
    <row r="2642">
      <c r="A2642" s="9"/>
      <c r="B2642" s="9"/>
      <c r="C2642" s="9"/>
      <c r="D2642" s="9"/>
      <c r="E2642" s="9"/>
      <c r="F2642" s="9"/>
      <c r="G2642" s="10"/>
      <c r="H2642" s="9"/>
      <c r="I2642" s="15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</row>
    <row r="2643">
      <c r="A2643" s="9"/>
      <c r="B2643" s="9"/>
      <c r="C2643" s="9"/>
      <c r="D2643" s="9"/>
      <c r="E2643" s="9"/>
      <c r="F2643" s="9"/>
      <c r="G2643" s="10"/>
      <c r="H2643" s="9"/>
      <c r="I2643" s="15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</row>
    <row r="2644">
      <c r="A2644" s="9"/>
      <c r="B2644" s="9"/>
      <c r="C2644" s="9"/>
      <c r="D2644" s="9"/>
      <c r="E2644" s="9"/>
      <c r="F2644" s="9"/>
      <c r="G2644" s="10"/>
      <c r="H2644" s="9"/>
      <c r="I2644" s="15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</row>
    <row r="2645">
      <c r="A2645" s="9"/>
      <c r="B2645" s="9"/>
      <c r="C2645" s="9"/>
      <c r="D2645" s="9"/>
      <c r="E2645" s="9"/>
      <c r="F2645" s="9"/>
      <c r="G2645" s="10"/>
      <c r="H2645" s="9"/>
      <c r="I2645" s="15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</row>
    <row r="2646">
      <c r="A2646" s="9"/>
      <c r="B2646" s="9"/>
      <c r="C2646" s="9"/>
      <c r="D2646" s="9"/>
      <c r="E2646" s="9"/>
      <c r="F2646" s="9"/>
      <c r="G2646" s="10"/>
      <c r="H2646" s="9"/>
      <c r="I2646" s="15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</row>
    <row r="2647">
      <c r="A2647" s="9"/>
      <c r="B2647" s="9"/>
      <c r="C2647" s="9"/>
      <c r="D2647" s="9"/>
      <c r="E2647" s="9"/>
      <c r="F2647" s="9"/>
      <c r="G2647" s="10"/>
      <c r="H2647" s="9"/>
      <c r="I2647" s="15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</row>
    <row r="2648">
      <c r="A2648" s="9"/>
      <c r="B2648" s="9"/>
      <c r="C2648" s="9"/>
      <c r="D2648" s="9"/>
      <c r="E2648" s="9"/>
      <c r="F2648" s="9"/>
      <c r="G2648" s="10"/>
      <c r="H2648" s="9"/>
      <c r="I2648" s="15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</row>
    <row r="2649">
      <c r="A2649" s="9"/>
      <c r="B2649" s="9"/>
      <c r="C2649" s="9"/>
      <c r="D2649" s="9"/>
      <c r="E2649" s="9"/>
      <c r="F2649" s="9"/>
      <c r="G2649" s="10"/>
      <c r="H2649" s="9"/>
      <c r="I2649" s="15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</row>
    <row r="2650">
      <c r="A2650" s="9"/>
      <c r="B2650" s="9"/>
      <c r="C2650" s="9"/>
      <c r="D2650" s="9"/>
      <c r="E2650" s="9"/>
      <c r="F2650" s="9"/>
      <c r="G2650" s="10"/>
      <c r="H2650" s="9"/>
      <c r="I2650" s="15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</row>
    <row r="2651">
      <c r="A2651" s="9"/>
      <c r="B2651" s="9"/>
      <c r="C2651" s="9"/>
      <c r="D2651" s="9"/>
      <c r="E2651" s="9"/>
      <c r="F2651" s="9"/>
      <c r="G2651" s="10"/>
      <c r="H2651" s="9"/>
      <c r="I2651" s="15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</row>
    <row r="2652">
      <c r="A2652" s="9"/>
      <c r="B2652" s="9"/>
      <c r="C2652" s="9"/>
      <c r="D2652" s="9"/>
      <c r="E2652" s="9"/>
      <c r="F2652" s="9"/>
      <c r="G2652" s="10"/>
      <c r="H2652" s="9"/>
      <c r="I2652" s="15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</row>
    <row r="2653">
      <c r="A2653" s="9"/>
      <c r="B2653" s="9"/>
      <c r="C2653" s="9"/>
      <c r="D2653" s="9"/>
      <c r="E2653" s="9"/>
      <c r="F2653" s="9"/>
      <c r="G2653" s="10"/>
      <c r="H2653" s="9"/>
      <c r="I2653" s="15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</row>
    <row r="2654">
      <c r="A2654" s="9"/>
      <c r="B2654" s="9"/>
      <c r="C2654" s="9"/>
      <c r="D2654" s="9"/>
      <c r="E2654" s="9"/>
      <c r="F2654" s="9"/>
      <c r="G2654" s="10"/>
      <c r="H2654" s="9"/>
      <c r="I2654" s="15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</row>
    <row r="2655">
      <c r="A2655" s="9"/>
      <c r="B2655" s="9"/>
      <c r="C2655" s="9"/>
      <c r="D2655" s="9"/>
      <c r="E2655" s="9"/>
      <c r="F2655" s="9"/>
      <c r="G2655" s="10"/>
      <c r="H2655" s="9"/>
      <c r="I2655" s="15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</row>
    <row r="2656">
      <c r="A2656" s="9"/>
      <c r="B2656" s="9"/>
      <c r="C2656" s="9"/>
      <c r="D2656" s="9"/>
      <c r="E2656" s="9"/>
      <c r="F2656" s="9"/>
      <c r="G2656" s="10"/>
      <c r="H2656" s="9"/>
      <c r="I2656" s="15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  <c r="AA2656" s="9"/>
    </row>
    <row r="2657">
      <c r="A2657" s="9"/>
      <c r="B2657" s="9"/>
      <c r="C2657" s="9"/>
      <c r="D2657" s="9"/>
      <c r="E2657" s="9"/>
      <c r="F2657" s="9"/>
      <c r="G2657" s="10"/>
      <c r="H2657" s="9"/>
      <c r="I2657" s="15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</row>
    <row r="2658">
      <c r="A2658" s="9"/>
      <c r="B2658" s="9"/>
      <c r="C2658" s="9"/>
      <c r="D2658" s="9"/>
      <c r="E2658" s="9"/>
      <c r="F2658" s="9"/>
      <c r="G2658" s="10"/>
      <c r="H2658" s="9"/>
      <c r="I2658" s="15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  <c r="AA2658" s="9"/>
    </row>
    <row r="2659">
      <c r="A2659" s="9"/>
      <c r="B2659" s="9"/>
      <c r="C2659" s="9"/>
      <c r="D2659" s="9"/>
      <c r="E2659" s="9"/>
      <c r="F2659" s="9"/>
      <c r="G2659" s="10"/>
      <c r="H2659" s="9"/>
      <c r="I2659" s="15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  <c r="AA2659" s="9"/>
    </row>
    <row r="2660">
      <c r="A2660" s="9"/>
      <c r="B2660" s="9"/>
      <c r="C2660" s="9"/>
      <c r="D2660" s="9"/>
      <c r="E2660" s="9"/>
      <c r="F2660" s="9"/>
      <c r="G2660" s="10"/>
      <c r="H2660" s="9"/>
      <c r="I2660" s="15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  <c r="AA2660" s="9"/>
    </row>
    <row r="2661">
      <c r="A2661" s="9"/>
      <c r="B2661" s="9"/>
      <c r="C2661" s="9"/>
      <c r="D2661" s="9"/>
      <c r="E2661" s="9"/>
      <c r="F2661" s="9"/>
      <c r="G2661" s="10"/>
      <c r="H2661" s="9"/>
      <c r="I2661" s="15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  <c r="AA2661" s="9"/>
    </row>
    <row r="2662">
      <c r="A2662" s="9"/>
      <c r="B2662" s="9"/>
      <c r="C2662" s="9"/>
      <c r="D2662" s="9"/>
      <c r="E2662" s="9"/>
      <c r="F2662" s="9"/>
      <c r="G2662" s="10"/>
      <c r="H2662" s="9"/>
      <c r="I2662" s="15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  <c r="AA2662" s="9"/>
    </row>
    <row r="2663">
      <c r="A2663" s="9"/>
      <c r="B2663" s="9"/>
      <c r="C2663" s="9"/>
      <c r="D2663" s="9"/>
      <c r="E2663" s="9"/>
      <c r="F2663" s="9"/>
      <c r="G2663" s="10"/>
      <c r="H2663" s="9"/>
      <c r="I2663" s="15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  <c r="AA2663" s="9"/>
    </row>
    <row r="2664">
      <c r="A2664" s="9"/>
      <c r="B2664" s="9"/>
      <c r="C2664" s="9"/>
      <c r="D2664" s="9"/>
      <c r="E2664" s="9"/>
      <c r="F2664" s="9"/>
      <c r="G2664" s="10"/>
      <c r="H2664" s="9"/>
      <c r="I2664" s="15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  <c r="AA2664" s="9"/>
    </row>
    <row r="2665">
      <c r="A2665" s="9"/>
      <c r="B2665" s="9"/>
      <c r="C2665" s="9"/>
      <c r="D2665" s="9"/>
      <c r="E2665" s="9"/>
      <c r="F2665" s="9"/>
      <c r="G2665" s="10"/>
      <c r="H2665" s="9"/>
      <c r="I2665" s="15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  <c r="AA2665" s="9"/>
    </row>
    <row r="2666">
      <c r="A2666" s="9"/>
      <c r="B2666" s="9"/>
      <c r="C2666" s="9"/>
      <c r="D2666" s="9"/>
      <c r="E2666" s="9"/>
      <c r="F2666" s="9"/>
      <c r="G2666" s="10"/>
      <c r="H2666" s="9"/>
      <c r="I2666" s="15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  <c r="AA2666" s="9"/>
    </row>
    <row r="2667">
      <c r="A2667" s="9"/>
      <c r="B2667" s="9"/>
      <c r="C2667" s="9"/>
      <c r="D2667" s="9"/>
      <c r="E2667" s="9"/>
      <c r="F2667" s="9"/>
      <c r="G2667" s="10"/>
      <c r="H2667" s="9"/>
      <c r="I2667" s="15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  <c r="AA2667" s="9"/>
    </row>
    <row r="2668">
      <c r="A2668" s="9"/>
      <c r="B2668" s="9"/>
      <c r="C2668" s="9"/>
      <c r="D2668" s="9"/>
      <c r="E2668" s="9"/>
      <c r="F2668" s="9"/>
      <c r="G2668" s="10"/>
      <c r="H2668" s="9"/>
      <c r="I2668" s="15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  <c r="AA2668" s="9"/>
    </row>
    <row r="2669">
      <c r="A2669" s="9"/>
      <c r="B2669" s="9"/>
      <c r="C2669" s="9"/>
      <c r="D2669" s="9"/>
      <c r="E2669" s="9"/>
      <c r="F2669" s="9"/>
      <c r="G2669" s="10"/>
      <c r="H2669" s="9"/>
      <c r="I2669" s="15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  <c r="AA2669" s="9"/>
    </row>
    <row r="2670">
      <c r="A2670" s="9"/>
      <c r="B2670" s="9"/>
      <c r="C2670" s="9"/>
      <c r="D2670" s="9"/>
      <c r="E2670" s="9"/>
      <c r="F2670" s="9"/>
      <c r="G2670" s="10"/>
      <c r="H2670" s="9"/>
      <c r="I2670" s="15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  <c r="AA2670" s="9"/>
    </row>
    <row r="2671">
      <c r="A2671" s="9"/>
      <c r="B2671" s="9"/>
      <c r="C2671" s="9"/>
      <c r="D2671" s="9"/>
      <c r="E2671" s="9"/>
      <c r="F2671" s="9"/>
      <c r="G2671" s="10"/>
      <c r="H2671" s="9"/>
      <c r="I2671" s="15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  <c r="AA2671" s="9"/>
    </row>
    <row r="2672">
      <c r="A2672" s="9"/>
      <c r="B2672" s="9"/>
      <c r="C2672" s="9"/>
      <c r="D2672" s="9"/>
      <c r="E2672" s="9"/>
      <c r="F2672" s="9"/>
      <c r="G2672" s="10"/>
      <c r="H2672" s="9"/>
      <c r="I2672" s="15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</row>
    <row r="2673">
      <c r="A2673" s="9"/>
      <c r="B2673" s="9"/>
      <c r="C2673" s="9"/>
      <c r="D2673" s="9"/>
      <c r="E2673" s="9"/>
      <c r="F2673" s="9"/>
      <c r="G2673" s="10"/>
      <c r="H2673" s="9"/>
      <c r="I2673" s="15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</row>
    <row r="2674">
      <c r="A2674" s="9"/>
      <c r="B2674" s="9"/>
      <c r="C2674" s="9"/>
      <c r="D2674" s="9"/>
      <c r="E2674" s="9"/>
      <c r="F2674" s="9"/>
      <c r="G2674" s="10"/>
      <c r="H2674" s="9"/>
      <c r="I2674" s="15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</row>
    <row r="2675">
      <c r="A2675" s="9"/>
      <c r="B2675" s="9"/>
      <c r="C2675" s="9"/>
      <c r="D2675" s="9"/>
      <c r="E2675" s="9"/>
      <c r="F2675" s="9"/>
      <c r="G2675" s="10"/>
      <c r="H2675" s="9"/>
      <c r="I2675" s="15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</row>
    <row r="2676">
      <c r="A2676" s="9"/>
      <c r="B2676" s="9"/>
      <c r="C2676" s="9"/>
      <c r="D2676" s="9"/>
      <c r="E2676" s="9"/>
      <c r="F2676" s="9"/>
      <c r="G2676" s="10"/>
      <c r="H2676" s="9"/>
      <c r="I2676" s="15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</row>
    <row r="2677">
      <c r="A2677" s="9"/>
      <c r="B2677" s="9"/>
      <c r="C2677" s="9"/>
      <c r="D2677" s="9"/>
      <c r="E2677" s="9"/>
      <c r="F2677" s="9"/>
      <c r="G2677" s="10"/>
      <c r="H2677" s="9"/>
      <c r="I2677" s="15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</row>
    <row r="2678">
      <c r="A2678" s="9"/>
      <c r="B2678" s="9"/>
      <c r="C2678" s="9"/>
      <c r="D2678" s="9"/>
      <c r="E2678" s="9"/>
      <c r="F2678" s="9"/>
      <c r="G2678" s="10"/>
      <c r="H2678" s="9"/>
      <c r="I2678" s="15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</row>
    <row r="2679">
      <c r="A2679" s="9"/>
      <c r="B2679" s="9"/>
      <c r="C2679" s="9"/>
      <c r="D2679" s="9"/>
      <c r="E2679" s="9"/>
      <c r="F2679" s="9"/>
      <c r="G2679" s="10"/>
      <c r="H2679" s="9"/>
      <c r="I2679" s="15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</row>
    <row r="2680">
      <c r="A2680" s="9"/>
      <c r="B2680" s="9"/>
      <c r="C2680" s="9"/>
      <c r="D2680" s="9"/>
      <c r="E2680" s="9"/>
      <c r="F2680" s="9"/>
      <c r="G2680" s="10"/>
      <c r="H2680" s="9"/>
      <c r="I2680" s="15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</row>
    <row r="2681">
      <c r="A2681" s="9"/>
      <c r="B2681" s="9"/>
      <c r="C2681" s="9"/>
      <c r="D2681" s="9"/>
      <c r="E2681" s="9"/>
      <c r="F2681" s="9"/>
      <c r="G2681" s="10"/>
      <c r="H2681" s="9"/>
      <c r="I2681" s="15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</row>
    <row r="2682">
      <c r="A2682" s="9"/>
      <c r="B2682" s="9"/>
      <c r="C2682" s="9"/>
      <c r="D2682" s="9"/>
      <c r="E2682" s="9"/>
      <c r="F2682" s="9"/>
      <c r="G2682" s="10"/>
      <c r="H2682" s="9"/>
      <c r="I2682" s="15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</row>
    <row r="2683">
      <c r="A2683" s="9"/>
      <c r="B2683" s="9"/>
      <c r="C2683" s="9"/>
      <c r="D2683" s="9"/>
      <c r="E2683" s="9"/>
      <c r="F2683" s="9"/>
      <c r="G2683" s="10"/>
      <c r="H2683" s="9"/>
      <c r="I2683" s="15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</row>
    <row r="2684">
      <c r="A2684" s="9"/>
      <c r="B2684" s="9"/>
      <c r="C2684" s="9"/>
      <c r="D2684" s="9"/>
      <c r="E2684" s="9"/>
      <c r="F2684" s="9"/>
      <c r="G2684" s="10"/>
      <c r="H2684" s="9"/>
      <c r="I2684" s="15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</row>
    <row r="2685">
      <c r="A2685" s="9"/>
      <c r="B2685" s="9"/>
      <c r="C2685" s="9"/>
      <c r="D2685" s="9"/>
      <c r="E2685" s="9"/>
      <c r="F2685" s="9"/>
      <c r="G2685" s="10"/>
      <c r="H2685" s="9"/>
      <c r="I2685" s="15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</row>
    <row r="2686">
      <c r="A2686" s="9"/>
      <c r="B2686" s="9"/>
      <c r="C2686" s="9"/>
      <c r="D2686" s="9"/>
      <c r="E2686" s="9"/>
      <c r="F2686" s="9"/>
      <c r="G2686" s="10"/>
      <c r="H2686" s="9"/>
      <c r="I2686" s="15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  <c r="AA2686" s="9"/>
    </row>
    <row r="2687">
      <c r="A2687" s="9"/>
      <c r="B2687" s="9"/>
      <c r="C2687" s="9"/>
      <c r="D2687" s="9"/>
      <c r="E2687" s="9"/>
      <c r="F2687" s="9"/>
      <c r="G2687" s="10"/>
      <c r="H2687" s="9"/>
      <c r="I2687" s="15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  <c r="AA2687" s="9"/>
    </row>
    <row r="2688">
      <c r="A2688" s="9"/>
      <c r="B2688" s="9"/>
      <c r="C2688" s="9"/>
      <c r="D2688" s="9"/>
      <c r="E2688" s="9"/>
      <c r="F2688" s="9"/>
      <c r="G2688" s="10"/>
      <c r="H2688" s="9"/>
      <c r="I2688" s="15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  <c r="AA2688" s="9"/>
    </row>
    <row r="2689">
      <c r="A2689" s="9"/>
      <c r="B2689" s="9"/>
      <c r="C2689" s="9"/>
      <c r="D2689" s="9"/>
      <c r="E2689" s="9"/>
      <c r="F2689" s="9"/>
      <c r="G2689" s="10"/>
      <c r="H2689" s="9"/>
      <c r="I2689" s="15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  <c r="AA2689" s="9"/>
    </row>
    <row r="2690">
      <c r="A2690" s="9"/>
      <c r="B2690" s="9"/>
      <c r="C2690" s="9"/>
      <c r="D2690" s="9"/>
      <c r="E2690" s="9"/>
      <c r="F2690" s="9"/>
      <c r="G2690" s="10"/>
      <c r="H2690" s="9"/>
      <c r="I2690" s="15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  <c r="AA2690" s="9"/>
    </row>
    <row r="2691">
      <c r="A2691" s="9"/>
      <c r="B2691" s="9"/>
      <c r="C2691" s="9"/>
      <c r="D2691" s="9"/>
      <c r="E2691" s="9"/>
      <c r="F2691" s="9"/>
      <c r="G2691" s="10"/>
      <c r="H2691" s="9"/>
      <c r="I2691" s="15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  <c r="AA2691" s="9"/>
    </row>
    <row r="2692">
      <c r="A2692" s="9"/>
      <c r="B2692" s="9"/>
      <c r="C2692" s="9"/>
      <c r="D2692" s="9"/>
      <c r="E2692" s="9"/>
      <c r="F2692" s="9"/>
      <c r="G2692" s="10"/>
      <c r="H2692" s="9"/>
      <c r="I2692" s="15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  <c r="AA2692" s="9"/>
    </row>
    <row r="2693">
      <c r="A2693" s="9"/>
      <c r="B2693" s="9"/>
      <c r="C2693" s="9"/>
      <c r="D2693" s="9"/>
      <c r="E2693" s="9"/>
      <c r="F2693" s="9"/>
      <c r="G2693" s="10"/>
      <c r="H2693" s="9"/>
      <c r="I2693" s="15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  <c r="AA2693" s="9"/>
    </row>
    <row r="2694">
      <c r="A2694" s="9"/>
      <c r="B2694" s="9"/>
      <c r="C2694" s="9"/>
      <c r="D2694" s="9"/>
      <c r="E2694" s="9"/>
      <c r="F2694" s="9"/>
      <c r="G2694" s="10"/>
      <c r="H2694" s="9"/>
      <c r="I2694" s="15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</row>
    <row r="2695">
      <c r="A2695" s="9"/>
      <c r="B2695" s="9"/>
      <c r="C2695" s="9"/>
      <c r="D2695" s="9"/>
      <c r="E2695" s="9"/>
      <c r="F2695" s="9"/>
      <c r="G2695" s="10"/>
      <c r="H2695" s="9"/>
      <c r="I2695" s="15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  <c r="AA2695" s="9"/>
    </row>
    <row r="2696">
      <c r="A2696" s="9"/>
      <c r="B2696" s="9"/>
      <c r="C2696" s="9"/>
      <c r="D2696" s="9"/>
      <c r="E2696" s="9"/>
      <c r="F2696" s="9"/>
      <c r="G2696" s="10"/>
      <c r="H2696" s="9"/>
      <c r="I2696" s="15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  <c r="AA2696" s="9"/>
    </row>
    <row r="2697">
      <c r="A2697" s="9"/>
      <c r="B2697" s="9"/>
      <c r="C2697" s="9"/>
      <c r="D2697" s="9"/>
      <c r="E2697" s="9"/>
      <c r="F2697" s="9"/>
      <c r="G2697" s="10"/>
      <c r="H2697" s="9"/>
      <c r="I2697" s="15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  <c r="AA2697" s="9"/>
    </row>
    <row r="2698">
      <c r="A2698" s="9"/>
      <c r="B2698" s="9"/>
      <c r="C2698" s="9"/>
      <c r="D2698" s="9"/>
      <c r="E2698" s="9"/>
      <c r="F2698" s="9"/>
      <c r="G2698" s="10"/>
      <c r="H2698" s="9"/>
      <c r="I2698" s="15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  <c r="AA2698" s="9"/>
    </row>
    <row r="2699">
      <c r="A2699" s="9"/>
      <c r="B2699" s="9"/>
      <c r="C2699" s="9"/>
      <c r="D2699" s="9"/>
      <c r="E2699" s="9"/>
      <c r="F2699" s="9"/>
      <c r="G2699" s="10"/>
      <c r="H2699" s="9"/>
      <c r="I2699" s="15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  <c r="AA2699" s="9"/>
    </row>
    <row r="2700">
      <c r="A2700" s="9"/>
      <c r="B2700" s="9"/>
      <c r="C2700" s="9"/>
      <c r="D2700" s="9"/>
      <c r="E2700" s="9"/>
      <c r="F2700" s="9"/>
      <c r="G2700" s="10"/>
      <c r="H2700" s="9"/>
      <c r="I2700" s="15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  <c r="AA2700" s="9"/>
    </row>
    <row r="2701">
      <c r="A2701" s="9"/>
      <c r="B2701" s="9"/>
      <c r="C2701" s="9"/>
      <c r="D2701" s="9"/>
      <c r="E2701" s="9"/>
      <c r="F2701" s="9"/>
      <c r="G2701" s="10"/>
      <c r="H2701" s="9"/>
      <c r="I2701" s="15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  <c r="AA2701" s="9"/>
    </row>
    <row r="2702">
      <c r="A2702" s="9"/>
      <c r="B2702" s="9"/>
      <c r="C2702" s="9"/>
      <c r="D2702" s="9"/>
      <c r="E2702" s="9"/>
      <c r="F2702" s="9"/>
      <c r="G2702" s="10"/>
      <c r="H2702" s="9"/>
      <c r="I2702" s="15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  <c r="AA2702" s="9"/>
    </row>
    <row r="2703">
      <c r="A2703" s="9"/>
      <c r="B2703" s="9"/>
      <c r="C2703" s="9"/>
      <c r="D2703" s="9"/>
      <c r="E2703" s="9"/>
      <c r="F2703" s="9"/>
      <c r="G2703" s="10"/>
      <c r="H2703" s="9"/>
      <c r="I2703" s="15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  <c r="AA2703" s="9"/>
    </row>
    <row r="2704">
      <c r="A2704" s="9"/>
      <c r="B2704" s="9"/>
      <c r="C2704" s="9"/>
      <c r="D2704" s="9"/>
      <c r="E2704" s="9"/>
      <c r="F2704" s="9"/>
      <c r="G2704" s="10"/>
      <c r="H2704" s="9"/>
      <c r="I2704" s="15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  <c r="AA2704" s="9"/>
    </row>
    <row r="2705">
      <c r="A2705" s="9"/>
      <c r="B2705" s="9"/>
      <c r="C2705" s="9"/>
      <c r="D2705" s="9"/>
      <c r="E2705" s="9"/>
      <c r="F2705" s="9"/>
      <c r="G2705" s="10"/>
      <c r="H2705" s="9"/>
      <c r="I2705" s="15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  <c r="AA2705" s="9"/>
    </row>
    <row r="2706">
      <c r="A2706" s="9"/>
      <c r="B2706" s="9"/>
      <c r="C2706" s="9"/>
      <c r="D2706" s="9"/>
      <c r="E2706" s="9"/>
      <c r="F2706" s="9"/>
      <c r="G2706" s="10"/>
      <c r="H2706" s="9"/>
      <c r="I2706" s="15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  <c r="AA2706" s="9"/>
    </row>
    <row r="2707">
      <c r="A2707" s="9"/>
      <c r="B2707" s="9"/>
      <c r="C2707" s="9"/>
      <c r="D2707" s="9"/>
      <c r="E2707" s="9"/>
      <c r="F2707" s="9"/>
      <c r="G2707" s="10"/>
      <c r="H2707" s="9"/>
      <c r="I2707" s="15"/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  <c r="AA2707" s="9"/>
    </row>
    <row r="2708">
      <c r="A2708" s="9"/>
      <c r="B2708" s="9"/>
      <c r="C2708" s="9"/>
      <c r="D2708" s="9"/>
      <c r="E2708" s="9"/>
      <c r="F2708" s="9"/>
      <c r="G2708" s="10"/>
      <c r="H2708" s="9"/>
      <c r="I2708" s="15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  <c r="AA2708" s="9"/>
    </row>
    <row r="2709">
      <c r="A2709" s="9"/>
      <c r="B2709" s="9"/>
      <c r="C2709" s="9"/>
      <c r="D2709" s="9"/>
      <c r="E2709" s="9"/>
      <c r="F2709" s="9"/>
      <c r="G2709" s="10"/>
      <c r="H2709" s="9"/>
      <c r="I2709" s="15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  <c r="AA2709" s="9"/>
    </row>
    <row r="2710">
      <c r="A2710" s="9"/>
      <c r="B2710" s="9"/>
      <c r="C2710" s="9"/>
      <c r="D2710" s="9"/>
      <c r="E2710" s="9"/>
      <c r="F2710" s="9"/>
      <c r="G2710" s="10"/>
      <c r="H2710" s="9"/>
      <c r="I2710" s="15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  <c r="AA2710" s="9"/>
    </row>
    <row r="2711">
      <c r="A2711" s="9"/>
      <c r="B2711" s="9"/>
      <c r="C2711" s="9"/>
      <c r="D2711" s="9"/>
      <c r="E2711" s="9"/>
      <c r="F2711" s="9"/>
      <c r="G2711" s="10"/>
      <c r="H2711" s="9"/>
      <c r="I2711" s="15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  <c r="AA2711" s="9"/>
    </row>
    <row r="2712">
      <c r="A2712" s="9"/>
      <c r="B2712" s="9"/>
      <c r="C2712" s="9"/>
      <c r="D2712" s="9"/>
      <c r="E2712" s="9"/>
      <c r="F2712" s="9"/>
      <c r="G2712" s="10"/>
      <c r="H2712" s="9"/>
      <c r="I2712" s="15"/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  <c r="AA2712" s="9"/>
    </row>
    <row r="2713">
      <c r="A2713" s="9"/>
      <c r="B2713" s="9"/>
      <c r="C2713" s="9"/>
      <c r="D2713" s="9"/>
      <c r="E2713" s="9"/>
      <c r="F2713" s="9"/>
      <c r="G2713" s="10"/>
      <c r="H2713" s="9"/>
      <c r="I2713" s="15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  <c r="AA2713" s="9"/>
    </row>
    <row r="2714">
      <c r="A2714" s="9"/>
      <c r="B2714" s="9"/>
      <c r="C2714" s="9"/>
      <c r="D2714" s="9"/>
      <c r="E2714" s="9"/>
      <c r="F2714" s="9"/>
      <c r="G2714" s="10"/>
      <c r="H2714" s="9"/>
      <c r="I2714" s="15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  <c r="AA2714" s="9"/>
    </row>
    <row r="2715">
      <c r="A2715" s="9"/>
      <c r="B2715" s="9"/>
      <c r="C2715" s="9"/>
      <c r="D2715" s="9"/>
      <c r="E2715" s="9"/>
      <c r="F2715" s="9"/>
      <c r="G2715" s="10"/>
      <c r="H2715" s="9"/>
      <c r="I2715" s="15"/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  <c r="AA2715" s="9"/>
    </row>
    <row r="2716">
      <c r="A2716" s="9"/>
      <c r="B2716" s="9"/>
      <c r="C2716" s="9"/>
      <c r="D2716" s="9"/>
      <c r="E2716" s="9"/>
      <c r="F2716" s="9"/>
      <c r="G2716" s="10"/>
      <c r="H2716" s="9"/>
      <c r="I2716" s="15"/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  <c r="AA2716" s="9"/>
    </row>
    <row r="2717">
      <c r="A2717" s="9"/>
      <c r="B2717" s="9"/>
      <c r="C2717" s="9"/>
      <c r="D2717" s="9"/>
      <c r="E2717" s="9"/>
      <c r="F2717" s="9"/>
      <c r="G2717" s="10"/>
      <c r="H2717" s="9"/>
      <c r="I2717" s="15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  <c r="AA2717" s="9"/>
    </row>
    <row r="2718">
      <c r="A2718" s="9"/>
      <c r="B2718" s="9"/>
      <c r="C2718" s="9"/>
      <c r="D2718" s="9"/>
      <c r="E2718" s="9"/>
      <c r="F2718" s="9"/>
      <c r="G2718" s="10"/>
      <c r="H2718" s="9"/>
      <c r="I2718" s="15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  <c r="AA2718" s="9"/>
    </row>
    <row r="2719">
      <c r="A2719" s="9"/>
      <c r="B2719" s="9"/>
      <c r="C2719" s="9"/>
      <c r="D2719" s="9"/>
      <c r="E2719" s="9"/>
      <c r="F2719" s="9"/>
      <c r="G2719" s="10"/>
      <c r="H2719" s="9"/>
      <c r="I2719" s="15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  <c r="AA2719" s="9"/>
    </row>
    <row r="2720">
      <c r="A2720" s="9"/>
      <c r="B2720" s="9"/>
      <c r="C2720" s="9"/>
      <c r="D2720" s="9"/>
      <c r="E2720" s="9"/>
      <c r="F2720" s="9"/>
      <c r="G2720" s="10"/>
      <c r="H2720" s="9"/>
      <c r="I2720" s="15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  <c r="AA2720" s="9"/>
    </row>
    <row r="2721">
      <c r="A2721" s="9"/>
      <c r="B2721" s="9"/>
      <c r="C2721" s="9"/>
      <c r="D2721" s="9"/>
      <c r="E2721" s="9"/>
      <c r="F2721" s="9"/>
      <c r="G2721" s="10"/>
      <c r="H2721" s="9"/>
      <c r="I2721" s="15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</row>
    <row r="2722">
      <c r="A2722" s="9"/>
      <c r="B2722" s="9"/>
      <c r="C2722" s="9"/>
      <c r="D2722" s="9"/>
      <c r="E2722" s="9"/>
      <c r="F2722" s="9"/>
      <c r="G2722" s="10"/>
      <c r="H2722" s="9"/>
      <c r="I2722" s="15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  <c r="AA2722" s="9"/>
    </row>
    <row r="2723">
      <c r="A2723" s="9"/>
      <c r="B2723" s="9"/>
      <c r="C2723" s="9"/>
      <c r="D2723" s="9"/>
      <c r="E2723" s="9"/>
      <c r="F2723" s="9"/>
      <c r="G2723" s="10"/>
      <c r="H2723" s="9"/>
      <c r="I2723" s="15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</row>
    <row r="2724">
      <c r="A2724" s="9"/>
      <c r="B2724" s="9"/>
      <c r="C2724" s="9"/>
      <c r="D2724" s="9"/>
      <c r="E2724" s="9"/>
      <c r="F2724" s="9"/>
      <c r="G2724" s="10"/>
      <c r="H2724" s="9"/>
      <c r="I2724" s="15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</row>
    <row r="2725">
      <c r="A2725" s="9"/>
      <c r="B2725" s="9"/>
      <c r="C2725" s="9"/>
      <c r="D2725" s="9"/>
      <c r="E2725" s="9"/>
      <c r="F2725" s="9"/>
      <c r="G2725" s="10"/>
      <c r="H2725" s="9"/>
      <c r="I2725" s="15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</row>
    <row r="2726">
      <c r="A2726" s="9"/>
      <c r="B2726" s="9"/>
      <c r="C2726" s="9"/>
      <c r="D2726" s="9"/>
      <c r="E2726" s="9"/>
      <c r="F2726" s="9"/>
      <c r="G2726" s="10"/>
      <c r="H2726" s="9"/>
      <c r="I2726" s="15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</row>
    <row r="2727">
      <c r="A2727" s="9"/>
      <c r="B2727" s="9"/>
      <c r="C2727" s="9"/>
      <c r="D2727" s="9"/>
      <c r="E2727" s="9"/>
      <c r="F2727" s="9"/>
      <c r="G2727" s="10"/>
      <c r="H2727" s="9"/>
      <c r="I2727" s="15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  <c r="AA2727" s="9"/>
    </row>
    <row r="2728">
      <c r="A2728" s="9"/>
      <c r="B2728" s="9"/>
      <c r="C2728" s="9"/>
      <c r="D2728" s="9"/>
      <c r="E2728" s="9"/>
      <c r="F2728" s="9"/>
      <c r="G2728" s="10"/>
      <c r="H2728" s="9"/>
      <c r="I2728" s="15"/>
      <c r="J2728" s="9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  <c r="AA2728" s="9"/>
    </row>
    <row r="2729">
      <c r="A2729" s="9"/>
      <c r="B2729" s="9"/>
      <c r="C2729" s="9"/>
      <c r="D2729" s="9"/>
      <c r="E2729" s="9"/>
      <c r="F2729" s="9"/>
      <c r="G2729" s="10"/>
      <c r="H2729" s="9"/>
      <c r="I2729" s="15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  <c r="AA2729" s="9"/>
    </row>
    <row r="2730">
      <c r="A2730" s="9"/>
      <c r="B2730" s="9"/>
      <c r="C2730" s="9"/>
      <c r="D2730" s="9"/>
      <c r="E2730" s="9"/>
      <c r="F2730" s="9"/>
      <c r="G2730" s="10"/>
      <c r="H2730" s="9"/>
      <c r="I2730" s="15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  <c r="AA2730" s="9"/>
    </row>
    <row r="2731">
      <c r="A2731" s="9"/>
      <c r="B2731" s="9"/>
      <c r="C2731" s="9"/>
      <c r="D2731" s="9"/>
      <c r="E2731" s="9"/>
      <c r="F2731" s="9"/>
      <c r="G2731" s="10"/>
      <c r="H2731" s="9"/>
      <c r="I2731" s="15"/>
      <c r="J2731" s="9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  <c r="AA2731" s="9"/>
    </row>
    <row r="2732">
      <c r="A2732" s="9"/>
      <c r="B2732" s="9"/>
      <c r="C2732" s="9"/>
      <c r="D2732" s="9"/>
      <c r="E2732" s="9"/>
      <c r="F2732" s="9"/>
      <c r="G2732" s="10"/>
      <c r="H2732" s="9"/>
      <c r="I2732" s="15"/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  <c r="AA2732" s="9"/>
    </row>
    <row r="2733">
      <c r="A2733" s="9"/>
      <c r="B2733" s="9"/>
      <c r="C2733" s="9"/>
      <c r="D2733" s="9"/>
      <c r="E2733" s="9"/>
      <c r="F2733" s="9"/>
      <c r="G2733" s="10"/>
      <c r="H2733" s="9"/>
      <c r="I2733" s="15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  <c r="AA2733" s="9"/>
    </row>
    <row r="2734">
      <c r="A2734" s="9"/>
      <c r="B2734" s="9"/>
      <c r="C2734" s="9"/>
      <c r="D2734" s="9"/>
      <c r="E2734" s="9"/>
      <c r="F2734" s="9"/>
      <c r="G2734" s="10"/>
      <c r="H2734" s="9"/>
      <c r="I2734" s="15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  <c r="AA2734" s="9"/>
    </row>
    <row r="2735">
      <c r="A2735" s="9"/>
      <c r="B2735" s="9"/>
      <c r="C2735" s="9"/>
      <c r="D2735" s="9"/>
      <c r="E2735" s="9"/>
      <c r="F2735" s="9"/>
      <c r="G2735" s="10"/>
      <c r="H2735" s="9"/>
      <c r="I2735" s="15"/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  <c r="AA2735" s="9"/>
    </row>
    <row r="2736">
      <c r="A2736" s="9"/>
      <c r="B2736" s="9"/>
      <c r="C2736" s="9"/>
      <c r="D2736" s="9"/>
      <c r="E2736" s="9"/>
      <c r="F2736" s="9"/>
      <c r="G2736" s="10"/>
      <c r="H2736" s="9"/>
      <c r="I2736" s="15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  <c r="AA2736" s="9"/>
    </row>
    <row r="2737">
      <c r="A2737" s="9"/>
      <c r="B2737" s="9"/>
      <c r="C2737" s="9"/>
      <c r="D2737" s="9"/>
      <c r="E2737" s="9"/>
      <c r="F2737" s="9"/>
      <c r="G2737" s="10"/>
      <c r="H2737" s="9"/>
      <c r="I2737" s="15"/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  <c r="AA2737" s="9"/>
    </row>
    <row r="2738">
      <c r="A2738" s="9"/>
      <c r="B2738" s="9"/>
      <c r="C2738" s="9"/>
      <c r="D2738" s="9"/>
      <c r="E2738" s="9"/>
      <c r="F2738" s="9"/>
      <c r="G2738" s="10"/>
      <c r="H2738" s="9"/>
      <c r="I2738" s="15"/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  <c r="AA2738" s="9"/>
    </row>
    <row r="2739">
      <c r="A2739" s="9"/>
      <c r="B2739" s="9"/>
      <c r="C2739" s="9"/>
      <c r="D2739" s="9"/>
      <c r="E2739" s="9"/>
      <c r="F2739" s="9"/>
      <c r="G2739" s="10"/>
      <c r="H2739" s="9"/>
      <c r="I2739" s="15"/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  <c r="AA2739" s="9"/>
    </row>
    <row r="2740">
      <c r="A2740" s="9"/>
      <c r="B2740" s="9"/>
      <c r="C2740" s="9"/>
      <c r="D2740" s="9"/>
      <c r="E2740" s="9"/>
      <c r="F2740" s="9"/>
      <c r="G2740" s="10"/>
      <c r="H2740" s="9"/>
      <c r="I2740" s="15"/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  <c r="AA2740" s="9"/>
    </row>
    <row r="2741">
      <c r="A2741" s="9"/>
      <c r="B2741" s="9"/>
      <c r="C2741" s="9"/>
      <c r="D2741" s="9"/>
      <c r="E2741" s="9"/>
      <c r="F2741" s="9"/>
      <c r="G2741" s="10"/>
      <c r="H2741" s="9"/>
      <c r="I2741" s="15"/>
      <c r="J2741" s="9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  <c r="AA2741" s="9"/>
    </row>
    <row r="2742">
      <c r="A2742" s="9"/>
      <c r="B2742" s="9"/>
      <c r="C2742" s="9"/>
      <c r="D2742" s="9"/>
      <c r="E2742" s="9"/>
      <c r="F2742" s="9"/>
      <c r="G2742" s="10"/>
      <c r="H2742" s="9"/>
      <c r="I2742" s="15"/>
      <c r="J2742" s="9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  <c r="AA2742" s="9"/>
    </row>
    <row r="2743">
      <c r="A2743" s="9"/>
      <c r="B2743" s="9"/>
      <c r="C2743" s="9"/>
      <c r="D2743" s="9"/>
      <c r="E2743" s="9"/>
      <c r="F2743" s="9"/>
      <c r="G2743" s="10"/>
      <c r="H2743" s="9"/>
      <c r="I2743" s="15"/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  <c r="AA2743" s="9"/>
    </row>
    <row r="2744">
      <c r="A2744" s="9"/>
      <c r="B2744" s="9"/>
      <c r="C2744" s="9"/>
      <c r="D2744" s="9"/>
      <c r="E2744" s="9"/>
      <c r="F2744" s="9"/>
      <c r="G2744" s="10"/>
      <c r="H2744" s="9"/>
      <c r="I2744" s="15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</row>
    <row r="2745">
      <c r="A2745" s="9"/>
      <c r="B2745" s="9"/>
      <c r="C2745" s="9"/>
      <c r="D2745" s="9"/>
      <c r="E2745" s="9"/>
      <c r="F2745" s="9"/>
      <c r="G2745" s="10"/>
      <c r="H2745" s="9"/>
      <c r="I2745" s="15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</row>
    <row r="2746">
      <c r="A2746" s="9"/>
      <c r="B2746" s="9"/>
      <c r="C2746" s="9"/>
      <c r="D2746" s="9"/>
      <c r="E2746" s="9"/>
      <c r="F2746" s="9"/>
      <c r="G2746" s="10"/>
      <c r="H2746" s="9"/>
      <c r="I2746" s="15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</row>
    <row r="2747">
      <c r="A2747" s="9"/>
      <c r="B2747" s="9"/>
      <c r="C2747" s="9"/>
      <c r="D2747" s="9"/>
      <c r="E2747" s="9"/>
      <c r="F2747" s="9"/>
      <c r="G2747" s="10"/>
      <c r="H2747" s="9"/>
      <c r="I2747" s="15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</row>
    <row r="2748">
      <c r="A2748" s="9"/>
      <c r="B2748" s="9"/>
      <c r="C2748" s="9"/>
      <c r="D2748" s="9"/>
      <c r="E2748" s="9"/>
      <c r="F2748" s="9"/>
      <c r="G2748" s="10"/>
      <c r="H2748" s="9"/>
      <c r="I2748" s="15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</row>
    <row r="2749">
      <c r="A2749" s="9"/>
      <c r="B2749" s="9"/>
      <c r="C2749" s="9"/>
      <c r="D2749" s="9"/>
      <c r="E2749" s="9"/>
      <c r="F2749" s="9"/>
      <c r="G2749" s="10"/>
      <c r="H2749" s="9"/>
      <c r="I2749" s="15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  <c r="AA2749" s="9"/>
    </row>
    <row r="2750">
      <c r="A2750" s="9"/>
      <c r="B2750" s="9"/>
      <c r="C2750" s="9"/>
      <c r="D2750" s="9"/>
      <c r="E2750" s="9"/>
      <c r="F2750" s="9"/>
      <c r="G2750" s="10"/>
      <c r="H2750" s="9"/>
      <c r="I2750" s="15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  <c r="AA2750" s="9"/>
    </row>
    <row r="2751">
      <c r="A2751" s="9"/>
      <c r="B2751" s="9"/>
      <c r="C2751" s="9"/>
      <c r="D2751" s="9"/>
      <c r="E2751" s="9"/>
      <c r="F2751" s="9"/>
      <c r="G2751" s="10"/>
      <c r="H2751" s="9"/>
      <c r="I2751" s="15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  <c r="AA2751" s="9"/>
    </row>
    <row r="2752">
      <c r="A2752" s="9"/>
      <c r="B2752" s="9"/>
      <c r="C2752" s="9"/>
      <c r="D2752" s="9"/>
      <c r="E2752" s="9"/>
      <c r="F2752" s="9"/>
      <c r="G2752" s="10"/>
      <c r="H2752" s="9"/>
      <c r="I2752" s="15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  <c r="AA2752" s="9"/>
    </row>
    <row r="2753">
      <c r="A2753" s="9"/>
      <c r="B2753" s="9"/>
      <c r="C2753" s="9"/>
      <c r="D2753" s="9"/>
      <c r="E2753" s="9"/>
      <c r="F2753" s="9"/>
      <c r="G2753" s="10"/>
      <c r="H2753" s="9"/>
      <c r="I2753" s="15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</row>
    <row r="2754">
      <c r="A2754" s="9"/>
      <c r="B2754" s="9"/>
      <c r="C2754" s="9"/>
      <c r="D2754" s="9"/>
      <c r="E2754" s="9"/>
      <c r="F2754" s="9"/>
      <c r="G2754" s="10"/>
      <c r="H2754" s="9"/>
      <c r="I2754" s="15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</row>
    <row r="2755">
      <c r="A2755" s="9"/>
      <c r="B2755" s="9"/>
      <c r="C2755" s="9"/>
      <c r="D2755" s="9"/>
      <c r="E2755" s="9"/>
      <c r="F2755" s="9"/>
      <c r="G2755" s="10"/>
      <c r="H2755" s="9"/>
      <c r="I2755" s="15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</row>
    <row r="2756">
      <c r="A2756" s="9"/>
      <c r="B2756" s="9"/>
      <c r="C2756" s="9"/>
      <c r="D2756" s="9"/>
      <c r="E2756" s="9"/>
      <c r="F2756" s="9"/>
      <c r="G2756" s="10"/>
      <c r="H2756" s="9"/>
      <c r="I2756" s="15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</row>
    <row r="2757">
      <c r="A2757" s="9"/>
      <c r="B2757" s="9"/>
      <c r="C2757" s="9"/>
      <c r="D2757" s="9"/>
      <c r="E2757" s="9"/>
      <c r="F2757" s="9"/>
      <c r="G2757" s="10"/>
      <c r="H2757" s="9"/>
      <c r="I2757" s="15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  <c r="AA2757" s="9"/>
    </row>
    <row r="2758">
      <c r="A2758" s="9"/>
      <c r="B2758" s="9"/>
      <c r="C2758" s="9"/>
      <c r="D2758" s="9"/>
      <c r="E2758" s="9"/>
      <c r="F2758" s="9"/>
      <c r="G2758" s="10"/>
      <c r="H2758" s="9"/>
      <c r="I2758" s="15"/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</row>
    <row r="2759">
      <c r="A2759" s="9"/>
      <c r="B2759" s="9"/>
      <c r="C2759" s="9"/>
      <c r="D2759" s="9"/>
      <c r="E2759" s="9"/>
      <c r="F2759" s="9"/>
      <c r="G2759" s="10"/>
      <c r="H2759" s="9"/>
      <c r="I2759" s="15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  <c r="AA2759" s="9"/>
    </row>
    <row r="2760">
      <c r="A2760" s="9"/>
      <c r="B2760" s="9"/>
      <c r="C2760" s="9"/>
      <c r="D2760" s="9"/>
      <c r="E2760" s="9"/>
      <c r="F2760" s="9"/>
      <c r="G2760" s="10"/>
      <c r="H2760" s="9"/>
      <c r="I2760" s="15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  <c r="AA2760" s="9"/>
    </row>
    <row r="2761">
      <c r="A2761" s="9"/>
      <c r="B2761" s="9"/>
      <c r="C2761" s="9"/>
      <c r="D2761" s="9"/>
      <c r="E2761" s="9"/>
      <c r="F2761" s="9"/>
      <c r="G2761" s="10"/>
      <c r="H2761" s="9"/>
      <c r="I2761" s="15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  <c r="AA2761" s="9"/>
    </row>
    <row r="2762">
      <c r="A2762" s="9"/>
      <c r="B2762" s="9"/>
      <c r="C2762" s="9"/>
      <c r="D2762" s="9"/>
      <c r="E2762" s="9"/>
      <c r="F2762" s="9"/>
      <c r="G2762" s="10"/>
      <c r="H2762" s="9"/>
      <c r="I2762" s="15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  <c r="AA2762" s="9"/>
    </row>
    <row r="2763">
      <c r="A2763" s="9"/>
      <c r="B2763" s="9"/>
      <c r="C2763" s="9"/>
      <c r="D2763" s="9"/>
      <c r="E2763" s="9"/>
      <c r="F2763" s="9"/>
      <c r="G2763" s="10"/>
      <c r="H2763" s="9"/>
      <c r="I2763" s="15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  <c r="AA2763" s="9"/>
    </row>
    <row r="2764">
      <c r="A2764" s="9"/>
      <c r="B2764" s="9"/>
      <c r="C2764" s="9"/>
      <c r="D2764" s="9"/>
      <c r="E2764" s="9"/>
      <c r="F2764" s="9"/>
      <c r="G2764" s="10"/>
      <c r="H2764" s="9"/>
      <c r="I2764" s="15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</row>
    <row r="2765">
      <c r="A2765" s="9"/>
      <c r="B2765" s="9"/>
      <c r="C2765" s="9"/>
      <c r="D2765" s="9"/>
      <c r="E2765" s="9"/>
      <c r="F2765" s="9"/>
      <c r="G2765" s="10"/>
      <c r="H2765" s="9"/>
      <c r="I2765" s="15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</row>
    <row r="2766">
      <c r="A2766" s="9"/>
      <c r="B2766" s="9"/>
      <c r="C2766" s="9"/>
      <c r="D2766" s="9"/>
      <c r="E2766" s="9"/>
      <c r="F2766" s="9"/>
      <c r="G2766" s="10"/>
      <c r="H2766" s="9"/>
      <c r="I2766" s="15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  <c r="AA2766" s="9"/>
    </row>
    <row r="2767">
      <c r="A2767" s="9"/>
      <c r="B2767" s="9"/>
      <c r="C2767" s="9"/>
      <c r="D2767" s="9"/>
      <c r="E2767" s="9"/>
      <c r="F2767" s="9"/>
      <c r="G2767" s="10"/>
      <c r="H2767" s="9"/>
      <c r="I2767" s="15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  <c r="AA2767" s="9"/>
    </row>
    <row r="2768">
      <c r="A2768" s="9"/>
      <c r="B2768" s="9"/>
      <c r="C2768" s="9"/>
      <c r="D2768" s="9"/>
      <c r="E2768" s="9"/>
      <c r="F2768" s="9"/>
      <c r="G2768" s="10"/>
      <c r="H2768" s="9"/>
      <c r="I2768" s="15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  <c r="AA2768" s="9"/>
    </row>
    <row r="2769">
      <c r="A2769" s="9"/>
      <c r="B2769" s="9"/>
      <c r="C2769" s="9"/>
      <c r="D2769" s="9"/>
      <c r="E2769" s="9"/>
      <c r="F2769" s="9"/>
      <c r="G2769" s="10"/>
      <c r="H2769" s="9"/>
      <c r="I2769" s="15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  <c r="AA2769" s="9"/>
    </row>
    <row r="2770">
      <c r="A2770" s="9"/>
      <c r="B2770" s="9"/>
      <c r="C2770" s="9"/>
      <c r="D2770" s="9"/>
      <c r="E2770" s="9"/>
      <c r="F2770" s="9"/>
      <c r="G2770" s="10"/>
      <c r="H2770" s="9"/>
      <c r="I2770" s="15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  <c r="AA2770" s="9"/>
    </row>
    <row r="2771">
      <c r="A2771" s="9"/>
      <c r="B2771" s="9"/>
      <c r="C2771" s="9"/>
      <c r="D2771" s="9"/>
      <c r="E2771" s="9"/>
      <c r="F2771" s="9"/>
      <c r="G2771" s="10"/>
      <c r="H2771" s="9"/>
      <c r="I2771" s="15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  <c r="AA2771" s="9"/>
    </row>
    <row r="2772">
      <c r="A2772" s="9"/>
      <c r="B2772" s="9"/>
      <c r="C2772" s="9"/>
      <c r="D2772" s="9"/>
      <c r="E2772" s="9"/>
      <c r="F2772" s="9"/>
      <c r="G2772" s="10"/>
      <c r="H2772" s="9"/>
      <c r="I2772" s="15"/>
      <c r="J2772" s="9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  <c r="AA2772" s="9"/>
    </row>
    <row r="2773">
      <c r="A2773" s="9"/>
      <c r="B2773" s="9"/>
      <c r="C2773" s="9"/>
      <c r="D2773" s="9"/>
      <c r="E2773" s="9"/>
      <c r="F2773" s="9"/>
      <c r="G2773" s="10"/>
      <c r="H2773" s="9"/>
      <c r="I2773" s="15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  <c r="AA2773" s="9"/>
    </row>
    <row r="2774">
      <c r="A2774" s="9"/>
      <c r="B2774" s="9"/>
      <c r="C2774" s="9"/>
      <c r="D2774" s="9"/>
      <c r="E2774" s="9"/>
      <c r="F2774" s="9"/>
      <c r="G2774" s="10"/>
      <c r="H2774" s="9"/>
      <c r="I2774" s="15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  <c r="AA2774" s="9"/>
    </row>
    <row r="2775">
      <c r="A2775" s="9"/>
      <c r="B2775" s="9"/>
      <c r="C2775" s="9"/>
      <c r="D2775" s="9"/>
      <c r="E2775" s="9"/>
      <c r="F2775" s="9"/>
      <c r="G2775" s="10"/>
      <c r="H2775" s="9"/>
      <c r="I2775" s="15"/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  <c r="AA2775" s="9"/>
    </row>
    <row r="2776">
      <c r="A2776" s="9"/>
      <c r="B2776" s="9"/>
      <c r="C2776" s="9"/>
      <c r="D2776" s="9"/>
      <c r="E2776" s="9"/>
      <c r="F2776" s="9"/>
      <c r="G2776" s="10"/>
      <c r="H2776" s="9"/>
      <c r="I2776" s="15"/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  <c r="AA2776" s="9"/>
    </row>
    <row r="2777">
      <c r="A2777" s="9"/>
      <c r="B2777" s="9"/>
      <c r="C2777" s="9"/>
      <c r="D2777" s="9"/>
      <c r="E2777" s="9"/>
      <c r="F2777" s="9"/>
      <c r="G2777" s="10"/>
      <c r="H2777" s="9"/>
      <c r="I2777" s="15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  <c r="AA2777" s="9"/>
    </row>
    <row r="2778">
      <c r="A2778" s="9"/>
      <c r="B2778" s="9"/>
      <c r="C2778" s="9"/>
      <c r="D2778" s="9"/>
      <c r="E2778" s="9"/>
      <c r="F2778" s="9"/>
      <c r="G2778" s="10"/>
      <c r="H2778" s="9"/>
      <c r="I2778" s="15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  <c r="AA2778" s="9"/>
    </row>
    <row r="2779">
      <c r="A2779" s="9"/>
      <c r="B2779" s="9"/>
      <c r="C2779" s="9"/>
      <c r="D2779" s="9"/>
      <c r="E2779" s="9"/>
      <c r="F2779" s="9"/>
      <c r="G2779" s="10"/>
      <c r="H2779" s="9"/>
      <c r="I2779" s="15"/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  <c r="AA2779" s="9"/>
    </row>
    <row r="2780">
      <c r="A2780" s="9"/>
      <c r="B2780" s="9"/>
      <c r="C2780" s="9"/>
      <c r="D2780" s="9"/>
      <c r="E2780" s="9"/>
      <c r="F2780" s="9"/>
      <c r="G2780" s="10"/>
      <c r="H2780" s="9"/>
      <c r="I2780" s="15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  <c r="AA2780" s="9"/>
    </row>
    <row r="2781">
      <c r="A2781" s="9"/>
      <c r="B2781" s="9"/>
      <c r="C2781" s="9"/>
      <c r="D2781" s="9"/>
      <c r="E2781" s="9"/>
      <c r="F2781" s="9"/>
      <c r="G2781" s="10"/>
      <c r="H2781" s="9"/>
      <c r="I2781" s="15"/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</row>
    <row r="2782">
      <c r="A2782" s="9"/>
      <c r="B2782" s="9"/>
      <c r="C2782" s="9"/>
      <c r="D2782" s="9"/>
      <c r="E2782" s="9"/>
      <c r="F2782" s="9"/>
      <c r="G2782" s="10"/>
      <c r="H2782" s="9"/>
      <c r="I2782" s="15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</row>
    <row r="2783">
      <c r="A2783" s="9"/>
      <c r="B2783" s="9"/>
      <c r="C2783" s="9"/>
      <c r="D2783" s="9"/>
      <c r="E2783" s="9"/>
      <c r="F2783" s="9"/>
      <c r="G2783" s="10"/>
      <c r="H2783" s="9"/>
      <c r="I2783" s="15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</row>
    <row r="2784">
      <c r="A2784" s="9"/>
      <c r="B2784" s="9"/>
      <c r="C2784" s="9"/>
      <c r="D2784" s="9"/>
      <c r="E2784" s="9"/>
      <c r="F2784" s="9"/>
      <c r="G2784" s="10"/>
      <c r="H2784" s="9"/>
      <c r="I2784" s="15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</row>
    <row r="2785">
      <c r="A2785" s="9"/>
      <c r="B2785" s="9"/>
      <c r="C2785" s="9"/>
      <c r="D2785" s="9"/>
      <c r="E2785" s="9"/>
      <c r="F2785" s="9"/>
      <c r="G2785" s="10"/>
      <c r="H2785" s="9"/>
      <c r="I2785" s="15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  <c r="AA2785" s="9"/>
    </row>
    <row r="2786">
      <c r="A2786" s="9"/>
      <c r="B2786" s="9"/>
      <c r="C2786" s="9"/>
      <c r="D2786" s="9"/>
      <c r="E2786" s="9"/>
      <c r="F2786" s="9"/>
      <c r="G2786" s="10"/>
      <c r="H2786" s="9"/>
      <c r="I2786" s="15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</row>
    <row r="2787">
      <c r="A2787" s="9"/>
      <c r="B2787" s="9"/>
      <c r="C2787" s="9"/>
      <c r="D2787" s="9"/>
      <c r="E2787" s="9"/>
      <c r="F2787" s="9"/>
      <c r="G2787" s="10"/>
      <c r="H2787" s="9"/>
      <c r="I2787" s="15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  <c r="AA2787" s="9"/>
    </row>
    <row r="2788">
      <c r="A2788" s="9"/>
      <c r="B2788" s="9"/>
      <c r="C2788" s="9"/>
      <c r="D2788" s="9"/>
      <c r="E2788" s="9"/>
      <c r="F2788" s="9"/>
      <c r="G2788" s="10"/>
      <c r="H2788" s="9"/>
      <c r="I2788" s="15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  <c r="AA2788" s="9"/>
    </row>
    <row r="2789">
      <c r="A2789" s="9"/>
      <c r="B2789" s="9"/>
      <c r="C2789" s="9"/>
      <c r="D2789" s="9"/>
      <c r="E2789" s="9"/>
      <c r="F2789" s="9"/>
      <c r="G2789" s="10"/>
      <c r="H2789" s="9"/>
      <c r="I2789" s="15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</row>
    <row r="2790">
      <c r="A2790" s="9"/>
      <c r="B2790" s="9"/>
      <c r="C2790" s="9"/>
      <c r="D2790" s="9"/>
      <c r="E2790" s="9"/>
      <c r="F2790" s="9"/>
      <c r="G2790" s="10"/>
      <c r="H2790" s="9"/>
      <c r="I2790" s="15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  <c r="AA2790" s="9"/>
    </row>
    <row r="2791">
      <c r="A2791" s="9"/>
      <c r="B2791" s="9"/>
      <c r="C2791" s="9"/>
      <c r="D2791" s="9"/>
      <c r="E2791" s="9"/>
      <c r="F2791" s="9"/>
      <c r="G2791" s="10"/>
      <c r="H2791" s="9"/>
      <c r="I2791" s="15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  <c r="AA2791" s="9"/>
    </row>
    <row r="2792">
      <c r="A2792" s="9"/>
      <c r="B2792" s="9"/>
      <c r="C2792" s="9"/>
      <c r="D2792" s="9"/>
      <c r="E2792" s="9"/>
      <c r="F2792" s="9"/>
      <c r="G2792" s="10"/>
      <c r="H2792" s="9"/>
      <c r="I2792" s="15"/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  <c r="AA2792" s="9"/>
    </row>
    <row r="2793">
      <c r="A2793" s="9"/>
      <c r="B2793" s="9"/>
      <c r="C2793" s="9"/>
      <c r="D2793" s="9"/>
      <c r="E2793" s="9"/>
      <c r="F2793" s="9"/>
      <c r="G2793" s="10"/>
      <c r="H2793" s="9"/>
      <c r="I2793" s="15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  <c r="AA2793" s="9"/>
    </row>
    <row r="2794">
      <c r="A2794" s="9"/>
      <c r="B2794" s="9"/>
      <c r="C2794" s="9"/>
      <c r="D2794" s="9"/>
      <c r="E2794" s="9"/>
      <c r="F2794" s="9"/>
      <c r="G2794" s="10"/>
      <c r="H2794" s="9"/>
      <c r="I2794" s="15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  <c r="AA2794" s="9"/>
    </row>
    <row r="2795">
      <c r="A2795" s="9"/>
      <c r="B2795" s="9"/>
      <c r="C2795" s="9"/>
      <c r="D2795" s="9"/>
      <c r="E2795" s="9"/>
      <c r="F2795" s="9"/>
      <c r="G2795" s="10"/>
      <c r="H2795" s="9"/>
      <c r="I2795" s="15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  <c r="AA2795" s="9"/>
    </row>
    <row r="2796">
      <c r="A2796" s="9"/>
      <c r="B2796" s="9"/>
      <c r="C2796" s="9"/>
      <c r="D2796" s="9"/>
      <c r="E2796" s="9"/>
      <c r="F2796" s="9"/>
      <c r="G2796" s="10"/>
      <c r="H2796" s="9"/>
      <c r="I2796" s="15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  <c r="AA2796" s="9"/>
    </row>
    <row r="2797">
      <c r="A2797" s="9"/>
      <c r="B2797" s="9"/>
      <c r="C2797" s="9"/>
      <c r="D2797" s="9"/>
      <c r="E2797" s="9"/>
      <c r="F2797" s="9"/>
      <c r="G2797" s="10"/>
      <c r="H2797" s="9"/>
      <c r="I2797" s="15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  <c r="AA2797" s="9"/>
    </row>
    <row r="2798">
      <c r="A2798" s="9"/>
      <c r="B2798" s="9"/>
      <c r="C2798" s="9"/>
      <c r="D2798" s="9"/>
      <c r="E2798" s="9"/>
      <c r="F2798" s="9"/>
      <c r="G2798" s="10"/>
      <c r="H2798" s="9"/>
      <c r="I2798" s="15"/>
      <c r="J2798" s="9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  <c r="AA2798" s="9"/>
    </row>
    <row r="2799">
      <c r="A2799" s="9"/>
      <c r="B2799" s="9"/>
      <c r="C2799" s="9"/>
      <c r="D2799" s="9"/>
      <c r="E2799" s="9"/>
      <c r="F2799" s="9"/>
      <c r="G2799" s="10"/>
      <c r="H2799" s="9"/>
      <c r="I2799" s="15"/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  <c r="AA2799" s="9"/>
    </row>
    <row r="2800">
      <c r="A2800" s="9"/>
      <c r="B2800" s="9"/>
      <c r="C2800" s="9"/>
      <c r="D2800" s="9"/>
      <c r="E2800" s="9"/>
      <c r="F2800" s="9"/>
      <c r="G2800" s="10"/>
      <c r="H2800" s="9"/>
      <c r="I2800" s="15"/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  <c r="AA2800" s="9"/>
    </row>
    <row r="2801">
      <c r="A2801" s="9"/>
      <c r="B2801" s="9"/>
      <c r="C2801" s="9"/>
      <c r="D2801" s="9"/>
      <c r="E2801" s="9"/>
      <c r="F2801" s="9"/>
      <c r="G2801" s="10"/>
      <c r="H2801" s="9"/>
      <c r="I2801" s="15"/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  <c r="AA2801" s="9"/>
    </row>
    <row r="2802">
      <c r="A2802" s="9"/>
      <c r="B2802" s="9"/>
      <c r="C2802" s="9"/>
      <c r="D2802" s="9"/>
      <c r="E2802" s="9"/>
      <c r="F2802" s="9"/>
      <c r="G2802" s="10"/>
      <c r="H2802" s="9"/>
      <c r="I2802" s="15"/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  <c r="AA2802" s="9"/>
    </row>
    <row r="2803">
      <c r="A2803" s="9"/>
      <c r="B2803" s="9"/>
      <c r="C2803" s="9"/>
      <c r="D2803" s="9"/>
      <c r="E2803" s="9"/>
      <c r="F2803" s="9"/>
      <c r="G2803" s="10"/>
      <c r="H2803" s="9"/>
      <c r="I2803" s="15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  <c r="AA2803" s="9"/>
    </row>
    <row r="2804">
      <c r="A2804" s="9"/>
      <c r="B2804" s="9"/>
      <c r="C2804" s="9"/>
      <c r="D2804" s="9"/>
      <c r="E2804" s="9"/>
      <c r="F2804" s="9"/>
      <c r="G2804" s="10"/>
      <c r="H2804" s="9"/>
      <c r="I2804" s="15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  <c r="AA2804" s="9"/>
    </row>
    <row r="2805">
      <c r="A2805" s="9"/>
      <c r="B2805" s="9"/>
      <c r="C2805" s="9"/>
      <c r="D2805" s="9"/>
      <c r="E2805" s="9"/>
      <c r="F2805" s="9"/>
      <c r="G2805" s="10"/>
      <c r="H2805" s="9"/>
      <c r="I2805" s="15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  <c r="AA2805" s="9"/>
    </row>
    <row r="2806">
      <c r="A2806" s="9"/>
      <c r="B2806" s="9"/>
      <c r="C2806" s="9"/>
      <c r="D2806" s="9"/>
      <c r="E2806" s="9"/>
      <c r="F2806" s="9"/>
      <c r="G2806" s="10"/>
      <c r="H2806" s="9"/>
      <c r="I2806" s="15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  <c r="AA2806" s="9"/>
    </row>
    <row r="2807">
      <c r="A2807" s="9"/>
      <c r="B2807" s="9"/>
      <c r="C2807" s="9"/>
      <c r="D2807" s="9"/>
      <c r="E2807" s="9"/>
      <c r="F2807" s="9"/>
      <c r="G2807" s="10"/>
      <c r="H2807" s="9"/>
      <c r="I2807" s="15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  <c r="AA2807" s="9"/>
    </row>
    <row r="2808">
      <c r="A2808" s="9"/>
      <c r="B2808" s="9"/>
      <c r="C2808" s="9"/>
      <c r="D2808" s="9"/>
      <c r="E2808" s="9"/>
      <c r="F2808" s="9"/>
      <c r="G2808" s="10"/>
      <c r="H2808" s="9"/>
      <c r="I2808" s="15"/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  <c r="AA2808" s="9"/>
    </row>
    <row r="2809">
      <c r="A2809" s="9"/>
      <c r="B2809" s="9"/>
      <c r="C2809" s="9"/>
      <c r="D2809" s="9"/>
      <c r="E2809" s="9"/>
      <c r="F2809" s="9"/>
      <c r="G2809" s="10"/>
      <c r="H2809" s="9"/>
      <c r="I2809" s="15"/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  <c r="AA2809" s="9"/>
    </row>
    <row r="2810">
      <c r="A2810" s="9"/>
      <c r="B2810" s="9"/>
      <c r="C2810" s="9"/>
      <c r="D2810" s="9"/>
      <c r="E2810" s="9"/>
      <c r="F2810" s="9"/>
      <c r="G2810" s="10"/>
      <c r="H2810" s="9"/>
      <c r="I2810" s="15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  <c r="AA2810" s="9"/>
    </row>
    <row r="2811">
      <c r="A2811" s="9"/>
      <c r="B2811" s="9"/>
      <c r="C2811" s="9"/>
      <c r="D2811" s="9"/>
      <c r="E2811" s="9"/>
      <c r="F2811" s="9"/>
      <c r="G2811" s="10"/>
      <c r="H2811" s="9"/>
      <c r="I2811" s="15"/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  <c r="AA2811" s="9"/>
    </row>
    <row r="2812">
      <c r="A2812" s="9"/>
      <c r="B2812" s="9"/>
      <c r="C2812" s="9"/>
      <c r="D2812" s="9"/>
      <c r="E2812" s="9"/>
      <c r="F2812" s="9"/>
      <c r="G2812" s="10"/>
      <c r="H2812" s="9"/>
      <c r="I2812" s="15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  <c r="AA2812" s="9"/>
    </row>
    <row r="2813">
      <c r="A2813" s="9"/>
      <c r="B2813" s="9"/>
      <c r="C2813" s="9"/>
      <c r="D2813" s="9"/>
      <c r="E2813" s="9"/>
      <c r="F2813" s="9"/>
      <c r="G2813" s="10"/>
      <c r="H2813" s="9"/>
      <c r="I2813" s="15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  <c r="AA2813" s="9"/>
    </row>
    <row r="2814">
      <c r="A2814" s="9"/>
      <c r="B2814" s="9"/>
      <c r="C2814" s="9"/>
      <c r="D2814" s="9"/>
      <c r="E2814" s="9"/>
      <c r="F2814" s="9"/>
      <c r="G2814" s="10"/>
      <c r="H2814" s="9"/>
      <c r="I2814" s="15"/>
      <c r="J2814" s="9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  <c r="AA2814" s="9"/>
    </row>
    <row r="2815">
      <c r="A2815" s="9"/>
      <c r="B2815" s="9"/>
      <c r="C2815" s="9"/>
      <c r="D2815" s="9"/>
      <c r="E2815" s="9"/>
      <c r="F2815" s="9"/>
      <c r="G2815" s="10"/>
      <c r="H2815" s="9"/>
      <c r="I2815" s="15"/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  <c r="AA2815" s="9"/>
    </row>
    <row r="2816">
      <c r="A2816" s="9"/>
      <c r="B2816" s="9"/>
      <c r="C2816" s="9"/>
      <c r="D2816" s="9"/>
      <c r="E2816" s="9"/>
      <c r="F2816" s="9"/>
      <c r="G2816" s="10"/>
      <c r="H2816" s="9"/>
      <c r="I2816" s="15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  <c r="AA2816" s="9"/>
    </row>
    <row r="2817">
      <c r="A2817" s="9"/>
      <c r="B2817" s="9"/>
      <c r="C2817" s="9"/>
      <c r="D2817" s="9"/>
      <c r="E2817" s="9"/>
      <c r="F2817" s="9"/>
      <c r="G2817" s="10"/>
      <c r="H2817" s="9"/>
      <c r="I2817" s="15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  <c r="AA2817" s="9"/>
    </row>
    <row r="2818">
      <c r="A2818" s="9"/>
      <c r="B2818" s="9"/>
      <c r="C2818" s="9"/>
      <c r="D2818" s="9"/>
      <c r="E2818" s="9"/>
      <c r="F2818" s="9"/>
      <c r="G2818" s="10"/>
      <c r="H2818" s="9"/>
      <c r="I2818" s="15"/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  <c r="AA2818" s="9"/>
    </row>
    <row r="2819">
      <c r="A2819" s="9"/>
      <c r="B2819" s="9"/>
      <c r="C2819" s="9"/>
      <c r="D2819" s="9"/>
      <c r="E2819" s="9"/>
      <c r="F2819" s="9"/>
      <c r="G2819" s="10"/>
      <c r="H2819" s="9"/>
      <c r="I2819" s="15"/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  <c r="AA2819" s="9"/>
    </row>
    <row r="2820">
      <c r="A2820" s="9"/>
      <c r="B2820" s="9"/>
      <c r="C2820" s="9"/>
      <c r="D2820" s="9"/>
      <c r="E2820" s="9"/>
      <c r="F2820" s="9"/>
      <c r="G2820" s="10"/>
      <c r="H2820" s="9"/>
      <c r="I2820" s="15"/>
      <c r="J2820" s="9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  <c r="AA2820" s="9"/>
    </row>
    <row r="2821">
      <c r="A2821" s="9"/>
      <c r="B2821" s="9"/>
      <c r="C2821" s="9"/>
      <c r="D2821" s="9"/>
      <c r="E2821" s="9"/>
      <c r="F2821" s="9"/>
      <c r="G2821" s="10"/>
      <c r="H2821" s="9"/>
      <c r="I2821" s="15"/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</row>
    <row r="2822">
      <c r="A2822" s="9"/>
      <c r="B2822" s="9"/>
      <c r="C2822" s="9"/>
      <c r="D2822" s="9"/>
      <c r="E2822" s="9"/>
      <c r="F2822" s="9"/>
      <c r="G2822" s="10"/>
      <c r="H2822" s="9"/>
      <c r="I2822" s="15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</row>
    <row r="2823">
      <c r="A2823" s="9"/>
      <c r="B2823" s="9"/>
      <c r="C2823" s="9"/>
      <c r="D2823" s="9"/>
      <c r="E2823" s="9"/>
      <c r="F2823" s="9"/>
      <c r="G2823" s="10"/>
      <c r="H2823" s="9"/>
      <c r="I2823" s="15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</row>
    <row r="2824">
      <c r="A2824" s="9"/>
      <c r="B2824" s="9"/>
      <c r="C2824" s="9"/>
      <c r="D2824" s="9"/>
      <c r="E2824" s="9"/>
      <c r="F2824" s="9"/>
      <c r="G2824" s="10"/>
      <c r="H2824" s="9"/>
      <c r="I2824" s="15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  <c r="AA2824" s="9"/>
    </row>
    <row r="2825">
      <c r="A2825" s="9"/>
      <c r="B2825" s="9"/>
      <c r="C2825" s="9"/>
      <c r="D2825" s="9"/>
      <c r="E2825" s="9"/>
      <c r="F2825" s="9"/>
      <c r="G2825" s="10"/>
      <c r="H2825" s="9"/>
      <c r="I2825" s="15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</row>
    <row r="2826">
      <c r="A2826" s="9"/>
      <c r="B2826" s="9"/>
      <c r="C2826" s="9"/>
      <c r="D2826" s="9"/>
      <c r="E2826" s="9"/>
      <c r="F2826" s="9"/>
      <c r="G2826" s="10"/>
      <c r="H2826" s="9"/>
      <c r="I2826" s="15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  <c r="AA2826" s="9"/>
    </row>
    <row r="2827">
      <c r="A2827" s="9"/>
      <c r="B2827" s="9"/>
      <c r="C2827" s="9"/>
      <c r="D2827" s="9"/>
      <c r="E2827" s="9"/>
      <c r="F2827" s="9"/>
      <c r="G2827" s="10"/>
      <c r="H2827" s="9"/>
      <c r="I2827" s="15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</row>
    <row r="2828">
      <c r="A2828" s="9"/>
      <c r="B2828" s="9"/>
      <c r="C2828" s="9"/>
      <c r="D2828" s="9"/>
      <c r="E2828" s="9"/>
      <c r="F2828" s="9"/>
      <c r="G2828" s="10"/>
      <c r="H2828" s="9"/>
      <c r="I2828" s="15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</row>
    <row r="2829">
      <c r="A2829" s="9"/>
      <c r="B2829" s="9"/>
      <c r="C2829" s="9"/>
      <c r="D2829" s="9"/>
      <c r="E2829" s="9"/>
      <c r="F2829" s="9"/>
      <c r="G2829" s="10"/>
      <c r="H2829" s="9"/>
      <c r="I2829" s="15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</row>
    <row r="2830">
      <c r="A2830" s="9"/>
      <c r="B2830" s="9"/>
      <c r="C2830" s="9"/>
      <c r="D2830" s="9"/>
      <c r="E2830" s="9"/>
      <c r="F2830" s="9"/>
      <c r="G2830" s="10"/>
      <c r="H2830" s="9"/>
      <c r="I2830" s="15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  <c r="AA2830" s="9"/>
    </row>
    <row r="2831">
      <c r="A2831" s="9"/>
      <c r="B2831" s="9"/>
      <c r="C2831" s="9"/>
      <c r="D2831" s="9"/>
      <c r="E2831" s="9"/>
      <c r="F2831" s="9"/>
      <c r="G2831" s="10"/>
      <c r="H2831" s="9"/>
      <c r="I2831" s="15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</row>
    <row r="2832">
      <c r="A2832" s="9"/>
      <c r="B2832" s="9"/>
      <c r="C2832" s="9"/>
      <c r="D2832" s="9"/>
      <c r="E2832" s="9"/>
      <c r="F2832" s="9"/>
      <c r="G2832" s="10"/>
      <c r="H2832" s="9"/>
      <c r="I2832" s="15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</row>
    <row r="2833">
      <c r="A2833" s="9"/>
      <c r="B2833" s="9"/>
      <c r="C2833" s="9"/>
      <c r="D2833" s="9"/>
      <c r="E2833" s="9"/>
      <c r="F2833" s="9"/>
      <c r="G2833" s="10"/>
      <c r="H2833" s="9"/>
      <c r="I2833" s="15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</row>
    <row r="2834">
      <c r="A2834" s="9"/>
      <c r="B2834" s="9"/>
      <c r="C2834" s="9"/>
      <c r="D2834" s="9"/>
      <c r="E2834" s="9"/>
      <c r="F2834" s="9"/>
      <c r="G2834" s="10"/>
      <c r="H2834" s="9"/>
      <c r="I2834" s="15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</row>
    <row r="2835">
      <c r="A2835" s="9"/>
      <c r="B2835" s="9"/>
      <c r="C2835" s="9"/>
      <c r="D2835" s="9"/>
      <c r="E2835" s="9"/>
      <c r="F2835" s="9"/>
      <c r="G2835" s="10"/>
      <c r="H2835" s="9"/>
      <c r="I2835" s="15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</row>
    <row r="2836">
      <c r="A2836" s="9"/>
      <c r="B2836" s="9"/>
      <c r="C2836" s="9"/>
      <c r="D2836" s="9"/>
      <c r="E2836" s="9"/>
      <c r="F2836" s="9"/>
      <c r="G2836" s="10"/>
      <c r="H2836" s="9"/>
      <c r="I2836" s="15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</row>
    <row r="2837">
      <c r="A2837" s="9"/>
      <c r="B2837" s="9"/>
      <c r="C2837" s="9"/>
      <c r="D2837" s="9"/>
      <c r="E2837" s="9"/>
      <c r="F2837" s="9"/>
      <c r="G2837" s="10"/>
      <c r="H2837" s="9"/>
      <c r="I2837" s="15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</row>
    <row r="2838">
      <c r="A2838" s="9"/>
      <c r="B2838" s="9"/>
      <c r="C2838" s="9"/>
      <c r="D2838" s="9"/>
      <c r="E2838" s="9"/>
      <c r="F2838" s="9"/>
      <c r="G2838" s="10"/>
      <c r="H2838" s="9"/>
      <c r="I2838" s="15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</row>
    <row r="2839">
      <c r="A2839" s="9"/>
      <c r="B2839" s="9"/>
      <c r="C2839" s="9"/>
      <c r="D2839" s="9"/>
      <c r="E2839" s="9"/>
      <c r="F2839" s="9"/>
      <c r="G2839" s="10"/>
      <c r="H2839" s="9"/>
      <c r="I2839" s="15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  <c r="AA2839" s="9"/>
    </row>
    <row r="2840">
      <c r="A2840" s="9"/>
      <c r="B2840" s="9"/>
      <c r="C2840" s="9"/>
      <c r="D2840" s="9"/>
      <c r="E2840" s="9"/>
      <c r="F2840" s="9"/>
      <c r="G2840" s="10"/>
      <c r="H2840" s="9"/>
      <c r="I2840" s="15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  <c r="AA2840" s="9"/>
    </row>
    <row r="2841">
      <c r="A2841" s="9"/>
      <c r="B2841" s="9"/>
      <c r="C2841" s="9"/>
      <c r="D2841" s="9"/>
      <c r="E2841" s="9"/>
      <c r="F2841" s="9"/>
      <c r="G2841" s="10"/>
      <c r="H2841" s="9"/>
      <c r="I2841" s="15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  <c r="AA2841" s="9"/>
    </row>
    <row r="2842">
      <c r="A2842" s="9"/>
      <c r="B2842" s="9"/>
      <c r="C2842" s="9"/>
      <c r="D2842" s="9"/>
      <c r="E2842" s="9"/>
      <c r="F2842" s="9"/>
      <c r="G2842" s="10"/>
      <c r="H2842" s="9"/>
      <c r="I2842" s="15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  <c r="AA2842" s="9"/>
    </row>
    <row r="2843">
      <c r="A2843" s="9"/>
      <c r="B2843" s="9"/>
      <c r="C2843" s="9"/>
      <c r="D2843" s="9"/>
      <c r="E2843" s="9"/>
      <c r="F2843" s="9"/>
      <c r="G2843" s="10"/>
      <c r="H2843" s="9"/>
      <c r="I2843" s="15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  <c r="AA2843" s="9"/>
    </row>
    <row r="2844">
      <c r="A2844" s="9"/>
      <c r="B2844" s="9"/>
      <c r="C2844" s="9"/>
      <c r="D2844" s="9"/>
      <c r="E2844" s="9"/>
      <c r="F2844" s="9"/>
      <c r="G2844" s="10"/>
      <c r="H2844" s="9"/>
      <c r="I2844" s="15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  <c r="AA2844" s="9"/>
    </row>
    <row r="2845">
      <c r="A2845" s="9"/>
      <c r="B2845" s="9"/>
      <c r="C2845" s="9"/>
      <c r="D2845" s="9"/>
      <c r="E2845" s="9"/>
      <c r="F2845" s="9"/>
      <c r="G2845" s="10"/>
      <c r="H2845" s="9"/>
      <c r="I2845" s="15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  <c r="AA2845" s="9"/>
    </row>
    <row r="2846">
      <c r="A2846" s="9"/>
      <c r="B2846" s="9"/>
      <c r="C2846" s="9"/>
      <c r="D2846" s="9"/>
      <c r="E2846" s="9"/>
      <c r="F2846" s="9"/>
      <c r="G2846" s="10"/>
      <c r="H2846" s="9"/>
      <c r="I2846" s="15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  <c r="AA2846" s="9"/>
    </row>
    <row r="2847">
      <c r="A2847" s="9"/>
      <c r="B2847" s="9"/>
      <c r="C2847" s="9"/>
      <c r="D2847" s="9"/>
      <c r="E2847" s="9"/>
      <c r="F2847" s="9"/>
      <c r="G2847" s="10"/>
      <c r="H2847" s="9"/>
      <c r="I2847" s="15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  <c r="AA2847" s="9"/>
    </row>
    <row r="2848">
      <c r="A2848" s="9"/>
      <c r="B2848" s="9"/>
      <c r="C2848" s="9"/>
      <c r="D2848" s="9"/>
      <c r="E2848" s="9"/>
      <c r="F2848" s="9"/>
      <c r="G2848" s="10"/>
      <c r="H2848" s="9"/>
      <c r="I2848" s="15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</row>
    <row r="2849">
      <c r="A2849" s="9"/>
      <c r="B2849" s="9"/>
      <c r="C2849" s="9"/>
      <c r="D2849" s="9"/>
      <c r="E2849" s="9"/>
      <c r="F2849" s="9"/>
      <c r="G2849" s="10"/>
      <c r="H2849" s="9"/>
      <c r="I2849" s="15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  <c r="AA2849" s="9"/>
    </row>
    <row r="2850">
      <c r="A2850" s="9"/>
      <c r="B2850" s="9"/>
      <c r="C2850" s="9"/>
      <c r="D2850" s="9"/>
      <c r="E2850" s="9"/>
      <c r="F2850" s="9"/>
      <c r="G2850" s="10"/>
      <c r="H2850" s="9"/>
      <c r="I2850" s="15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</row>
    <row r="2851">
      <c r="A2851" s="9"/>
      <c r="B2851" s="9"/>
      <c r="C2851" s="9"/>
      <c r="D2851" s="9"/>
      <c r="E2851" s="9"/>
      <c r="F2851" s="9"/>
      <c r="G2851" s="10"/>
      <c r="H2851" s="9"/>
      <c r="I2851" s="15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  <c r="AA2851" s="9"/>
    </row>
    <row r="2852">
      <c r="A2852" s="9"/>
      <c r="B2852" s="9"/>
      <c r="C2852" s="9"/>
      <c r="D2852" s="9"/>
      <c r="E2852" s="9"/>
      <c r="F2852" s="9"/>
      <c r="G2852" s="10"/>
      <c r="H2852" s="9"/>
      <c r="I2852" s="15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  <c r="AA2852" s="9"/>
    </row>
    <row r="2853">
      <c r="A2853" s="9"/>
      <c r="B2853" s="9"/>
      <c r="C2853" s="9"/>
      <c r="D2853" s="9"/>
      <c r="E2853" s="9"/>
      <c r="F2853" s="9"/>
      <c r="G2853" s="10"/>
      <c r="H2853" s="9"/>
      <c r="I2853" s="15"/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  <c r="AA2853" s="9"/>
    </row>
    <row r="2854">
      <c r="A2854" s="9"/>
      <c r="B2854" s="9"/>
      <c r="C2854" s="9"/>
      <c r="D2854" s="9"/>
      <c r="E2854" s="9"/>
      <c r="F2854" s="9"/>
      <c r="G2854" s="10"/>
      <c r="H2854" s="9"/>
      <c r="I2854" s="15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</row>
    <row r="2855">
      <c r="A2855" s="9"/>
      <c r="B2855" s="9"/>
      <c r="C2855" s="9"/>
      <c r="D2855" s="9"/>
      <c r="E2855" s="9"/>
      <c r="F2855" s="9"/>
      <c r="G2855" s="10"/>
      <c r="H2855" s="9"/>
      <c r="I2855" s="15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</row>
    <row r="2856">
      <c r="A2856" s="9"/>
      <c r="B2856" s="9"/>
      <c r="C2856" s="9"/>
      <c r="D2856" s="9"/>
      <c r="E2856" s="9"/>
      <c r="F2856" s="9"/>
      <c r="G2856" s="10"/>
      <c r="H2856" s="9"/>
      <c r="I2856" s="15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</row>
    <row r="2857">
      <c r="A2857" s="9"/>
      <c r="B2857" s="9"/>
      <c r="C2857" s="9"/>
      <c r="D2857" s="9"/>
      <c r="E2857" s="9"/>
      <c r="F2857" s="9"/>
      <c r="G2857" s="10"/>
      <c r="H2857" s="9"/>
      <c r="I2857" s="15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</row>
    <row r="2858">
      <c r="A2858" s="9"/>
      <c r="B2858" s="9"/>
      <c r="C2858" s="9"/>
      <c r="D2858" s="9"/>
      <c r="E2858" s="9"/>
      <c r="F2858" s="9"/>
      <c r="G2858" s="10"/>
      <c r="H2858" s="9"/>
      <c r="I2858" s="15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</row>
    <row r="2859">
      <c r="A2859" s="9"/>
      <c r="B2859" s="9"/>
      <c r="C2859" s="9"/>
      <c r="D2859" s="9"/>
      <c r="E2859" s="9"/>
      <c r="F2859" s="9"/>
      <c r="G2859" s="10"/>
      <c r="H2859" s="9"/>
      <c r="I2859" s="15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</row>
    <row r="2860">
      <c r="A2860" s="9"/>
      <c r="B2860" s="9"/>
      <c r="C2860" s="9"/>
      <c r="D2860" s="9"/>
      <c r="E2860" s="9"/>
      <c r="F2860" s="9"/>
      <c r="G2860" s="10"/>
      <c r="H2860" s="9"/>
      <c r="I2860" s="15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</row>
    <row r="2861">
      <c r="A2861" s="9"/>
      <c r="B2861" s="9"/>
      <c r="C2861" s="9"/>
      <c r="D2861" s="9"/>
      <c r="E2861" s="9"/>
      <c r="F2861" s="9"/>
      <c r="G2861" s="10"/>
      <c r="H2861" s="9"/>
      <c r="I2861" s="15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</row>
    <row r="2862">
      <c r="A2862" s="9"/>
      <c r="B2862" s="9"/>
      <c r="C2862" s="9"/>
      <c r="D2862" s="9"/>
      <c r="E2862" s="9"/>
      <c r="F2862" s="9"/>
      <c r="G2862" s="10"/>
      <c r="H2862" s="9"/>
      <c r="I2862" s="15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</row>
    <row r="2863">
      <c r="A2863" s="9"/>
      <c r="B2863" s="9"/>
      <c r="C2863" s="9"/>
      <c r="D2863" s="9"/>
      <c r="E2863" s="9"/>
      <c r="F2863" s="9"/>
      <c r="G2863" s="10"/>
      <c r="H2863" s="9"/>
      <c r="I2863" s="15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</row>
    <row r="2864">
      <c r="A2864" s="9"/>
      <c r="B2864" s="9"/>
      <c r="C2864" s="9"/>
      <c r="D2864" s="9"/>
      <c r="E2864" s="9"/>
      <c r="F2864" s="9"/>
      <c r="G2864" s="10"/>
      <c r="H2864" s="9"/>
      <c r="I2864" s="15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</row>
    <row r="2865">
      <c r="A2865" s="9"/>
      <c r="B2865" s="9"/>
      <c r="C2865" s="9"/>
      <c r="D2865" s="9"/>
      <c r="E2865" s="9"/>
      <c r="F2865" s="9"/>
      <c r="G2865" s="10"/>
      <c r="H2865" s="9"/>
      <c r="I2865" s="15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</row>
    <row r="2866">
      <c r="A2866" s="9"/>
      <c r="B2866" s="9"/>
      <c r="C2866" s="9"/>
      <c r="D2866" s="9"/>
      <c r="E2866" s="9"/>
      <c r="F2866" s="9"/>
      <c r="G2866" s="10"/>
      <c r="H2866" s="9"/>
      <c r="I2866" s="15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</row>
    <row r="2867">
      <c r="A2867" s="9"/>
      <c r="B2867" s="9"/>
      <c r="C2867" s="9"/>
      <c r="D2867" s="9"/>
      <c r="E2867" s="9"/>
      <c r="F2867" s="9"/>
      <c r="G2867" s="10"/>
      <c r="H2867" s="9"/>
      <c r="I2867" s="15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</row>
    <row r="2868">
      <c r="A2868" s="9"/>
      <c r="B2868" s="9"/>
      <c r="C2868" s="9"/>
      <c r="D2868" s="9"/>
      <c r="E2868" s="9"/>
      <c r="F2868" s="9"/>
      <c r="G2868" s="10"/>
      <c r="H2868" s="9"/>
      <c r="I2868" s="15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</row>
    <row r="2869">
      <c r="A2869" s="9"/>
      <c r="B2869" s="9"/>
      <c r="C2869" s="9"/>
      <c r="D2869" s="9"/>
      <c r="E2869" s="9"/>
      <c r="F2869" s="9"/>
      <c r="G2869" s="10"/>
      <c r="H2869" s="9"/>
      <c r="I2869" s="15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</row>
    <row r="2870">
      <c r="A2870" s="9"/>
      <c r="B2870" s="9"/>
      <c r="C2870" s="9"/>
      <c r="D2870" s="9"/>
      <c r="E2870" s="9"/>
      <c r="F2870" s="9"/>
      <c r="G2870" s="10"/>
      <c r="H2870" s="9"/>
      <c r="I2870" s="15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</row>
    <row r="2871">
      <c r="A2871" s="9"/>
      <c r="B2871" s="9"/>
      <c r="C2871" s="9"/>
      <c r="D2871" s="9"/>
      <c r="E2871" s="9"/>
      <c r="F2871" s="9"/>
      <c r="G2871" s="10"/>
      <c r="H2871" s="9"/>
      <c r="I2871" s="15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</row>
    <row r="2872">
      <c r="A2872" s="9"/>
      <c r="B2872" s="9"/>
      <c r="C2872" s="9"/>
      <c r="D2872" s="9"/>
      <c r="E2872" s="9"/>
      <c r="F2872" s="9"/>
      <c r="G2872" s="10"/>
      <c r="H2872" s="9"/>
      <c r="I2872" s="15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</row>
    <row r="2873">
      <c r="A2873" s="9"/>
      <c r="B2873" s="9"/>
      <c r="C2873" s="9"/>
      <c r="D2873" s="9"/>
      <c r="E2873" s="9"/>
      <c r="F2873" s="9"/>
      <c r="G2873" s="10"/>
      <c r="H2873" s="9"/>
      <c r="I2873" s="15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</row>
    <row r="2874">
      <c r="A2874" s="9"/>
      <c r="B2874" s="9"/>
      <c r="C2874" s="9"/>
      <c r="D2874" s="9"/>
      <c r="E2874" s="9"/>
      <c r="F2874" s="9"/>
      <c r="G2874" s="10"/>
      <c r="H2874" s="9"/>
      <c r="I2874" s="15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</row>
    <row r="2875">
      <c r="A2875" s="9"/>
      <c r="B2875" s="9"/>
      <c r="C2875" s="9"/>
      <c r="D2875" s="9"/>
      <c r="E2875" s="9"/>
      <c r="F2875" s="9"/>
      <c r="G2875" s="10"/>
      <c r="H2875" s="9"/>
      <c r="I2875" s="15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</row>
    <row r="2876">
      <c r="A2876" s="9"/>
      <c r="B2876" s="9"/>
      <c r="C2876" s="9"/>
      <c r="D2876" s="9"/>
      <c r="E2876" s="9"/>
      <c r="F2876" s="9"/>
      <c r="G2876" s="10"/>
      <c r="H2876" s="9"/>
      <c r="I2876" s="15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</row>
    <row r="2877">
      <c r="A2877" s="9"/>
      <c r="B2877" s="9"/>
      <c r="C2877" s="9"/>
      <c r="D2877" s="9"/>
      <c r="E2877" s="9"/>
      <c r="F2877" s="9"/>
      <c r="G2877" s="10"/>
      <c r="H2877" s="9"/>
      <c r="I2877" s="15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</row>
    <row r="2878">
      <c r="A2878" s="9"/>
      <c r="B2878" s="9"/>
      <c r="C2878" s="9"/>
      <c r="D2878" s="9"/>
      <c r="E2878" s="9"/>
      <c r="F2878" s="9"/>
      <c r="G2878" s="10"/>
      <c r="H2878" s="9"/>
      <c r="I2878" s="15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</row>
    <row r="2879">
      <c r="A2879" s="9"/>
      <c r="B2879" s="9"/>
      <c r="C2879" s="9"/>
      <c r="D2879" s="9"/>
      <c r="E2879" s="9"/>
      <c r="F2879" s="9"/>
      <c r="G2879" s="10"/>
      <c r="H2879" s="9"/>
      <c r="I2879" s="15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</row>
    <row r="2880">
      <c r="A2880" s="9"/>
      <c r="B2880" s="9"/>
      <c r="C2880" s="9"/>
      <c r="D2880" s="9"/>
      <c r="E2880" s="9"/>
      <c r="F2880" s="9"/>
      <c r="G2880" s="10"/>
      <c r="H2880" s="9"/>
      <c r="I2880" s="15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</row>
    <row r="2881">
      <c r="A2881" s="9"/>
      <c r="B2881" s="9"/>
      <c r="C2881" s="9"/>
      <c r="D2881" s="9"/>
      <c r="E2881" s="9"/>
      <c r="F2881" s="9"/>
      <c r="G2881" s="10"/>
      <c r="H2881" s="9"/>
      <c r="I2881" s="15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</row>
    <row r="2882">
      <c r="A2882" s="9"/>
      <c r="B2882" s="9"/>
      <c r="C2882" s="9"/>
      <c r="D2882" s="9"/>
      <c r="E2882" s="9"/>
      <c r="F2882" s="9"/>
      <c r="G2882" s="10"/>
      <c r="H2882" s="9"/>
      <c r="I2882" s="15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</row>
    <row r="2883">
      <c r="A2883" s="9"/>
      <c r="B2883" s="9"/>
      <c r="C2883" s="9"/>
      <c r="D2883" s="9"/>
      <c r="E2883" s="9"/>
      <c r="F2883" s="9"/>
      <c r="G2883" s="10"/>
      <c r="H2883" s="9"/>
      <c r="I2883" s="15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  <c r="AA2883" s="9"/>
    </row>
    <row r="2884">
      <c r="A2884" s="9"/>
      <c r="B2884" s="9"/>
      <c r="C2884" s="9"/>
      <c r="D2884" s="9"/>
      <c r="E2884" s="9"/>
      <c r="F2884" s="9"/>
      <c r="G2884" s="10"/>
      <c r="H2884" s="9"/>
      <c r="I2884" s="15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  <c r="AA2884" s="9"/>
    </row>
    <row r="2885">
      <c r="A2885" s="9"/>
      <c r="B2885" s="9"/>
      <c r="C2885" s="9"/>
      <c r="D2885" s="9"/>
      <c r="E2885" s="9"/>
      <c r="F2885" s="9"/>
      <c r="G2885" s="10"/>
      <c r="H2885" s="9"/>
      <c r="I2885" s="15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  <c r="AA2885" s="9"/>
    </row>
    <row r="2886">
      <c r="A2886" s="9"/>
      <c r="B2886" s="9"/>
      <c r="C2886" s="9"/>
      <c r="D2886" s="9"/>
      <c r="E2886" s="9"/>
      <c r="F2886" s="9"/>
      <c r="G2886" s="10"/>
      <c r="H2886" s="9"/>
      <c r="I2886" s="15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  <c r="AA2886" s="9"/>
    </row>
    <row r="2887">
      <c r="A2887" s="9"/>
      <c r="B2887" s="9"/>
      <c r="C2887" s="9"/>
      <c r="D2887" s="9"/>
      <c r="E2887" s="9"/>
      <c r="F2887" s="9"/>
      <c r="G2887" s="10"/>
      <c r="H2887" s="9"/>
      <c r="I2887" s="15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  <c r="AA2887" s="9"/>
    </row>
    <row r="2888">
      <c r="A2888" s="9"/>
      <c r="B2888" s="9"/>
      <c r="C2888" s="9"/>
      <c r="D2888" s="9"/>
      <c r="E2888" s="9"/>
      <c r="F2888" s="9"/>
      <c r="G2888" s="10"/>
      <c r="H2888" s="9"/>
      <c r="I2888" s="15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  <c r="AA2888" s="9"/>
    </row>
    <row r="2889">
      <c r="A2889" s="9"/>
      <c r="B2889" s="9"/>
      <c r="C2889" s="9"/>
      <c r="D2889" s="9"/>
      <c r="E2889" s="9"/>
      <c r="F2889" s="9"/>
      <c r="G2889" s="10"/>
      <c r="H2889" s="9"/>
      <c r="I2889" s="15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  <c r="AA2889" s="9"/>
    </row>
    <row r="2890">
      <c r="A2890" s="9"/>
      <c r="B2890" s="9"/>
      <c r="C2890" s="9"/>
      <c r="D2890" s="9"/>
      <c r="E2890" s="9"/>
      <c r="F2890" s="9"/>
      <c r="G2890" s="10"/>
      <c r="H2890" s="9"/>
      <c r="I2890" s="15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  <c r="AA2890" s="9"/>
    </row>
    <row r="2891">
      <c r="A2891" s="9"/>
      <c r="B2891" s="9"/>
      <c r="C2891" s="9"/>
      <c r="D2891" s="9"/>
      <c r="E2891" s="9"/>
      <c r="F2891" s="9"/>
      <c r="G2891" s="10"/>
      <c r="H2891" s="9"/>
      <c r="I2891" s="15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  <c r="AA2891" s="9"/>
    </row>
    <row r="2892">
      <c r="A2892" s="9"/>
      <c r="B2892" s="9"/>
      <c r="C2892" s="9"/>
      <c r="D2892" s="9"/>
      <c r="E2892" s="9"/>
      <c r="F2892" s="9"/>
      <c r="G2892" s="10"/>
      <c r="H2892" s="9"/>
      <c r="I2892" s="15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  <c r="AA2892" s="9"/>
    </row>
    <row r="2893">
      <c r="A2893" s="9"/>
      <c r="B2893" s="9"/>
      <c r="C2893" s="9"/>
      <c r="D2893" s="9"/>
      <c r="E2893" s="9"/>
      <c r="F2893" s="9"/>
      <c r="G2893" s="10"/>
      <c r="H2893" s="9"/>
      <c r="I2893" s="15"/>
      <c r="J2893" s="9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  <c r="AA2893" s="9"/>
    </row>
    <row r="2894">
      <c r="A2894" s="9"/>
      <c r="B2894" s="9"/>
      <c r="C2894" s="9"/>
      <c r="D2894" s="9"/>
      <c r="E2894" s="9"/>
      <c r="F2894" s="9"/>
      <c r="G2894" s="10"/>
      <c r="H2894" s="9"/>
      <c r="I2894" s="15"/>
      <c r="J2894" s="9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  <c r="AA2894" s="9"/>
    </row>
    <row r="2895">
      <c r="A2895" s="9"/>
      <c r="B2895" s="9"/>
      <c r="C2895" s="9"/>
      <c r="D2895" s="9"/>
      <c r="E2895" s="9"/>
      <c r="F2895" s="9"/>
      <c r="G2895" s="10"/>
      <c r="H2895" s="9"/>
      <c r="I2895" s="15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  <c r="AA2895" s="9"/>
    </row>
    <row r="2896">
      <c r="A2896" s="9"/>
      <c r="B2896" s="9"/>
      <c r="C2896" s="9"/>
      <c r="D2896" s="9"/>
      <c r="E2896" s="9"/>
      <c r="F2896" s="9"/>
      <c r="G2896" s="10"/>
      <c r="H2896" s="9"/>
      <c r="I2896" s="15"/>
      <c r="J2896" s="9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  <c r="AA2896" s="9"/>
    </row>
    <row r="2897">
      <c r="A2897" s="9"/>
      <c r="B2897" s="9"/>
      <c r="C2897" s="9"/>
      <c r="D2897" s="9"/>
      <c r="E2897" s="9"/>
      <c r="F2897" s="9"/>
      <c r="G2897" s="10"/>
      <c r="H2897" s="9"/>
      <c r="I2897" s="15"/>
      <c r="J2897" s="9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  <c r="AA2897" s="9"/>
    </row>
    <row r="2898">
      <c r="A2898" s="9"/>
      <c r="B2898" s="9"/>
      <c r="C2898" s="9"/>
      <c r="D2898" s="9"/>
      <c r="E2898" s="9"/>
      <c r="F2898" s="9"/>
      <c r="G2898" s="10"/>
      <c r="H2898" s="9"/>
      <c r="I2898" s="15"/>
      <c r="J2898" s="9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  <c r="AA2898" s="9"/>
    </row>
    <row r="2899">
      <c r="A2899" s="9"/>
      <c r="B2899" s="9"/>
      <c r="C2899" s="9"/>
      <c r="D2899" s="9"/>
      <c r="E2899" s="9"/>
      <c r="F2899" s="9"/>
      <c r="G2899" s="10"/>
      <c r="H2899" s="9"/>
      <c r="I2899" s="15"/>
      <c r="J2899" s="9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  <c r="AA2899" s="9"/>
    </row>
    <row r="2900">
      <c r="A2900" s="9"/>
      <c r="B2900" s="9"/>
      <c r="C2900" s="9"/>
      <c r="D2900" s="9"/>
      <c r="E2900" s="9"/>
      <c r="F2900" s="9"/>
      <c r="G2900" s="10"/>
      <c r="H2900" s="9"/>
      <c r="I2900" s="15"/>
      <c r="J2900" s="9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  <c r="AA2900" s="9"/>
    </row>
    <row r="2901">
      <c r="A2901" s="9"/>
      <c r="B2901" s="9"/>
      <c r="C2901" s="9"/>
      <c r="D2901" s="9"/>
      <c r="E2901" s="9"/>
      <c r="F2901" s="9"/>
      <c r="G2901" s="10"/>
      <c r="H2901" s="9"/>
      <c r="I2901" s="15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  <c r="AA2901" s="9"/>
    </row>
    <row r="2902">
      <c r="A2902" s="9"/>
      <c r="B2902" s="9"/>
      <c r="C2902" s="9"/>
      <c r="D2902" s="9"/>
      <c r="E2902" s="9"/>
      <c r="F2902" s="9"/>
      <c r="G2902" s="10"/>
      <c r="H2902" s="9"/>
      <c r="I2902" s="15"/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  <c r="AA2902" s="9"/>
    </row>
    <row r="2903">
      <c r="A2903" s="9"/>
      <c r="B2903" s="9"/>
      <c r="C2903" s="9"/>
      <c r="D2903" s="9"/>
      <c r="E2903" s="9"/>
      <c r="F2903" s="9"/>
      <c r="G2903" s="10"/>
      <c r="H2903" s="9"/>
      <c r="I2903" s="15"/>
      <c r="J2903" s="9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  <c r="AA2903" s="9"/>
    </row>
    <row r="2904">
      <c r="A2904" s="9"/>
      <c r="B2904" s="9"/>
      <c r="C2904" s="9"/>
      <c r="D2904" s="9"/>
      <c r="E2904" s="9"/>
      <c r="F2904" s="9"/>
      <c r="G2904" s="10"/>
      <c r="H2904" s="9"/>
      <c r="I2904" s="15"/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  <c r="AA2904" s="9"/>
    </row>
    <row r="2905">
      <c r="A2905" s="9"/>
      <c r="B2905" s="9"/>
      <c r="C2905" s="9"/>
      <c r="D2905" s="9"/>
      <c r="E2905" s="9"/>
      <c r="F2905" s="9"/>
      <c r="G2905" s="10"/>
      <c r="H2905" s="9"/>
      <c r="I2905" s="15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  <c r="AA2905" s="9"/>
    </row>
    <row r="2906">
      <c r="A2906" s="9"/>
      <c r="B2906" s="9"/>
      <c r="C2906" s="9"/>
      <c r="D2906" s="9"/>
      <c r="E2906" s="9"/>
      <c r="F2906" s="9"/>
      <c r="G2906" s="10"/>
      <c r="H2906" s="9"/>
      <c r="I2906" s="15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  <c r="AA2906" s="9"/>
    </row>
    <row r="2907">
      <c r="A2907" s="9"/>
      <c r="B2907" s="9"/>
      <c r="C2907" s="9"/>
      <c r="D2907" s="9"/>
      <c r="E2907" s="9"/>
      <c r="F2907" s="9"/>
      <c r="G2907" s="10"/>
      <c r="H2907" s="9"/>
      <c r="I2907" s="15"/>
      <c r="J2907" s="9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  <c r="AA2907" s="9"/>
    </row>
    <row r="2908">
      <c r="A2908" s="9"/>
      <c r="B2908" s="9"/>
      <c r="C2908" s="9"/>
      <c r="D2908" s="9"/>
      <c r="E2908" s="9"/>
      <c r="F2908" s="9"/>
      <c r="G2908" s="10"/>
      <c r="H2908" s="9"/>
      <c r="I2908" s="15"/>
      <c r="J2908" s="9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  <c r="AA2908" s="9"/>
    </row>
    <row r="2909">
      <c r="A2909" s="9"/>
      <c r="B2909" s="9"/>
      <c r="C2909" s="9"/>
      <c r="D2909" s="9"/>
      <c r="E2909" s="9"/>
      <c r="F2909" s="9"/>
      <c r="G2909" s="10"/>
      <c r="H2909" s="9"/>
      <c r="I2909" s="15"/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  <c r="AA2909" s="9"/>
    </row>
    <row r="2910">
      <c r="A2910" s="9"/>
      <c r="B2910" s="9"/>
      <c r="C2910" s="9"/>
      <c r="D2910" s="9"/>
      <c r="E2910" s="9"/>
      <c r="F2910" s="9"/>
      <c r="G2910" s="10"/>
      <c r="H2910" s="9"/>
      <c r="I2910" s="15"/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  <c r="AA2910" s="9"/>
    </row>
    <row r="2911">
      <c r="A2911" s="9"/>
      <c r="B2911" s="9"/>
      <c r="C2911" s="9"/>
      <c r="D2911" s="9"/>
      <c r="E2911" s="9"/>
      <c r="F2911" s="9"/>
      <c r="G2911" s="10"/>
      <c r="H2911" s="9"/>
      <c r="I2911" s="15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  <c r="AA2911" s="9"/>
    </row>
    <row r="2912">
      <c r="A2912" s="9"/>
      <c r="B2912" s="9"/>
      <c r="C2912" s="9"/>
      <c r="D2912" s="9"/>
      <c r="E2912" s="9"/>
      <c r="F2912" s="9"/>
      <c r="G2912" s="10"/>
      <c r="H2912" s="9"/>
      <c r="I2912" s="15"/>
      <c r="J2912" s="9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  <c r="AA2912" s="9"/>
    </row>
    <row r="2913">
      <c r="A2913" s="9"/>
      <c r="B2913" s="9"/>
      <c r="C2913" s="9"/>
      <c r="D2913" s="9"/>
      <c r="E2913" s="9"/>
      <c r="F2913" s="9"/>
      <c r="G2913" s="10"/>
      <c r="H2913" s="9"/>
      <c r="I2913" s="15"/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  <c r="AA2913" s="9"/>
    </row>
    <row r="2914">
      <c r="A2914" s="9"/>
      <c r="B2914" s="9"/>
      <c r="C2914" s="9"/>
      <c r="D2914" s="9"/>
      <c r="E2914" s="9"/>
      <c r="F2914" s="9"/>
      <c r="G2914" s="10"/>
      <c r="H2914" s="9"/>
      <c r="I2914" s="15"/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  <c r="AA2914" s="9"/>
    </row>
    <row r="2915">
      <c r="A2915" s="9"/>
      <c r="B2915" s="9"/>
      <c r="C2915" s="9"/>
      <c r="D2915" s="9"/>
      <c r="E2915" s="9"/>
      <c r="F2915" s="9"/>
      <c r="G2915" s="10"/>
      <c r="H2915" s="9"/>
      <c r="I2915" s="15"/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  <c r="AA2915" s="9"/>
    </row>
    <row r="2916">
      <c r="A2916" s="9"/>
      <c r="B2916" s="9"/>
      <c r="C2916" s="9"/>
      <c r="D2916" s="9"/>
      <c r="E2916" s="9"/>
      <c r="F2916" s="9"/>
      <c r="G2916" s="10"/>
      <c r="H2916" s="9"/>
      <c r="I2916" s="15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  <c r="AA2916" s="9"/>
    </row>
    <row r="2917">
      <c r="A2917" s="9"/>
      <c r="B2917" s="9"/>
      <c r="C2917" s="9"/>
      <c r="D2917" s="9"/>
      <c r="E2917" s="9"/>
      <c r="F2917" s="9"/>
      <c r="G2917" s="10"/>
      <c r="H2917" s="9"/>
      <c r="I2917" s="15"/>
      <c r="J2917" s="9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  <c r="AA2917" s="9"/>
    </row>
    <row r="2918">
      <c r="A2918" s="9"/>
      <c r="B2918" s="9"/>
      <c r="C2918" s="9"/>
      <c r="D2918" s="9"/>
      <c r="E2918" s="9"/>
      <c r="F2918" s="9"/>
      <c r="G2918" s="10"/>
      <c r="H2918" s="9"/>
      <c r="I2918" s="15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  <c r="AA2918" s="9"/>
    </row>
    <row r="2919">
      <c r="A2919" s="9"/>
      <c r="B2919" s="9"/>
      <c r="C2919" s="9"/>
      <c r="D2919" s="9"/>
      <c r="E2919" s="9"/>
      <c r="F2919" s="9"/>
      <c r="G2919" s="10"/>
      <c r="H2919" s="9"/>
      <c r="I2919" s="15"/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  <c r="AA2919" s="9"/>
    </row>
    <row r="2920">
      <c r="A2920" s="9"/>
      <c r="B2920" s="9"/>
      <c r="C2920" s="9"/>
      <c r="D2920" s="9"/>
      <c r="E2920" s="9"/>
      <c r="F2920" s="9"/>
      <c r="G2920" s="10"/>
      <c r="H2920" s="9"/>
      <c r="I2920" s="15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  <c r="AA2920" s="9"/>
    </row>
    <row r="2921">
      <c r="A2921" s="9"/>
      <c r="B2921" s="9"/>
      <c r="C2921" s="9"/>
      <c r="D2921" s="9"/>
      <c r="E2921" s="9"/>
      <c r="F2921" s="9"/>
      <c r="G2921" s="10"/>
      <c r="H2921" s="9"/>
      <c r="I2921" s="15"/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  <c r="AA2921" s="9"/>
    </row>
    <row r="2922">
      <c r="A2922" s="9"/>
      <c r="B2922" s="9"/>
      <c r="C2922" s="9"/>
      <c r="D2922" s="9"/>
      <c r="E2922" s="9"/>
      <c r="F2922" s="9"/>
      <c r="G2922" s="10"/>
      <c r="H2922" s="9"/>
      <c r="I2922" s="15"/>
      <c r="J2922" s="9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  <c r="AA2922" s="9"/>
    </row>
    <row r="2923">
      <c r="A2923" s="9"/>
      <c r="B2923" s="9"/>
      <c r="C2923" s="9"/>
      <c r="D2923" s="9"/>
      <c r="E2923" s="9"/>
      <c r="F2923" s="9"/>
      <c r="G2923" s="10"/>
      <c r="H2923" s="9"/>
      <c r="I2923" s="15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  <c r="AA2923" s="9"/>
    </row>
    <row r="2924">
      <c r="A2924" s="9"/>
      <c r="B2924" s="9"/>
      <c r="C2924" s="9"/>
      <c r="D2924" s="9"/>
      <c r="E2924" s="9"/>
      <c r="F2924" s="9"/>
      <c r="G2924" s="10"/>
      <c r="H2924" s="9"/>
      <c r="I2924" s="15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  <c r="AA2924" s="9"/>
    </row>
    <row r="2925">
      <c r="A2925" s="9"/>
      <c r="B2925" s="9"/>
      <c r="C2925" s="9"/>
      <c r="D2925" s="9"/>
      <c r="E2925" s="9"/>
      <c r="F2925" s="9"/>
      <c r="G2925" s="10"/>
      <c r="H2925" s="9"/>
      <c r="I2925" s="15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</row>
    <row r="2926">
      <c r="A2926" s="9"/>
      <c r="B2926" s="9"/>
      <c r="C2926" s="9"/>
      <c r="D2926" s="9"/>
      <c r="E2926" s="9"/>
      <c r="F2926" s="9"/>
      <c r="G2926" s="10"/>
      <c r="H2926" s="9"/>
      <c r="I2926" s="15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  <c r="AA2926" s="9"/>
    </row>
    <row r="2927">
      <c r="A2927" s="9"/>
      <c r="B2927" s="9"/>
      <c r="C2927" s="9"/>
      <c r="D2927" s="9"/>
      <c r="E2927" s="9"/>
      <c r="F2927" s="9"/>
      <c r="G2927" s="10"/>
      <c r="H2927" s="9"/>
      <c r="I2927" s="15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  <c r="AA2927" s="9"/>
    </row>
    <row r="2928">
      <c r="A2928" s="9"/>
      <c r="B2928" s="9"/>
      <c r="C2928" s="9"/>
      <c r="D2928" s="9"/>
      <c r="E2928" s="9"/>
      <c r="F2928" s="9"/>
      <c r="G2928" s="10"/>
      <c r="H2928" s="9"/>
      <c r="I2928" s="15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  <c r="AA2928" s="9"/>
    </row>
    <row r="2929">
      <c r="A2929" s="9"/>
      <c r="B2929" s="9"/>
      <c r="C2929" s="9"/>
      <c r="D2929" s="9"/>
      <c r="E2929" s="9"/>
      <c r="F2929" s="9"/>
      <c r="G2929" s="10"/>
      <c r="H2929" s="9"/>
      <c r="I2929" s="15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</row>
    <row r="2930">
      <c r="A2930" s="9"/>
      <c r="B2930" s="9"/>
      <c r="C2930" s="9"/>
      <c r="D2930" s="9"/>
      <c r="E2930" s="9"/>
      <c r="F2930" s="9"/>
      <c r="G2930" s="10"/>
      <c r="H2930" s="9"/>
      <c r="I2930" s="15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  <c r="AA2930" s="9"/>
    </row>
    <row r="2931">
      <c r="A2931" s="9"/>
      <c r="B2931" s="9"/>
      <c r="C2931" s="9"/>
      <c r="D2931" s="9"/>
      <c r="E2931" s="9"/>
      <c r="F2931" s="9"/>
      <c r="G2931" s="10"/>
      <c r="H2931" s="9"/>
      <c r="I2931" s="15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</row>
    <row r="2932">
      <c r="A2932" s="9"/>
      <c r="B2932" s="9"/>
      <c r="C2932" s="9"/>
      <c r="D2932" s="9"/>
      <c r="E2932" s="9"/>
      <c r="F2932" s="9"/>
      <c r="G2932" s="10"/>
      <c r="H2932" s="9"/>
      <c r="I2932" s="15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  <c r="AA2932" s="9"/>
    </row>
    <row r="2933">
      <c r="A2933" s="9"/>
      <c r="B2933" s="9"/>
      <c r="C2933" s="9"/>
      <c r="D2933" s="9"/>
      <c r="E2933" s="9"/>
      <c r="F2933" s="9"/>
      <c r="G2933" s="10"/>
      <c r="H2933" s="9"/>
      <c r="I2933" s="15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  <c r="AA2933" s="9"/>
    </row>
    <row r="2934">
      <c r="A2934" s="9"/>
      <c r="B2934" s="9"/>
      <c r="C2934" s="9"/>
      <c r="D2934" s="9"/>
      <c r="E2934" s="9"/>
      <c r="F2934" s="9"/>
      <c r="G2934" s="10"/>
      <c r="H2934" s="9"/>
      <c r="I2934" s="15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  <c r="AA2934" s="9"/>
    </row>
    <row r="2935">
      <c r="A2935" s="9"/>
      <c r="B2935" s="9"/>
      <c r="C2935" s="9"/>
      <c r="D2935" s="9"/>
      <c r="E2935" s="9"/>
      <c r="F2935" s="9"/>
      <c r="G2935" s="10"/>
      <c r="H2935" s="9"/>
      <c r="I2935" s="15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  <c r="AA2935" s="9"/>
    </row>
    <row r="2936">
      <c r="A2936" s="9"/>
      <c r="B2936" s="9"/>
      <c r="C2936" s="9"/>
      <c r="D2936" s="9"/>
      <c r="E2936" s="9"/>
      <c r="F2936" s="9"/>
      <c r="G2936" s="10"/>
      <c r="H2936" s="9"/>
      <c r="I2936" s="15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</row>
    <row r="2937">
      <c r="A2937" s="9"/>
      <c r="B2937" s="9"/>
      <c r="C2937" s="9"/>
      <c r="D2937" s="9"/>
      <c r="E2937" s="9"/>
      <c r="F2937" s="9"/>
      <c r="G2937" s="10"/>
      <c r="H2937" s="9"/>
      <c r="I2937" s="15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  <c r="AA2937" s="9"/>
    </row>
    <row r="2938">
      <c r="A2938" s="9"/>
      <c r="B2938" s="9"/>
      <c r="C2938" s="9"/>
      <c r="D2938" s="9"/>
      <c r="E2938" s="9"/>
      <c r="F2938" s="9"/>
      <c r="G2938" s="10"/>
      <c r="H2938" s="9"/>
      <c r="I2938" s="15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  <c r="AA2938" s="9"/>
    </row>
    <row r="2939">
      <c r="A2939" s="9"/>
      <c r="B2939" s="9"/>
      <c r="C2939" s="9"/>
      <c r="D2939" s="9"/>
      <c r="E2939" s="9"/>
      <c r="F2939" s="9"/>
      <c r="G2939" s="10"/>
      <c r="H2939" s="9"/>
      <c r="I2939" s="15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  <c r="AA2939" s="9"/>
    </row>
    <row r="2940">
      <c r="A2940" s="9"/>
      <c r="B2940" s="9"/>
      <c r="C2940" s="9"/>
      <c r="D2940" s="9"/>
      <c r="E2940" s="9"/>
      <c r="F2940" s="9"/>
      <c r="G2940" s="10"/>
      <c r="H2940" s="9"/>
      <c r="I2940" s="15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  <c r="AA2940" s="9"/>
    </row>
    <row r="2941">
      <c r="A2941" s="9"/>
      <c r="B2941" s="9"/>
      <c r="C2941" s="9"/>
      <c r="D2941" s="9"/>
      <c r="E2941" s="9"/>
      <c r="F2941" s="9"/>
      <c r="G2941" s="10"/>
      <c r="H2941" s="9"/>
      <c r="I2941" s="15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  <c r="AA2941" s="9"/>
    </row>
    <row r="2942">
      <c r="A2942" s="9"/>
      <c r="B2942" s="9"/>
      <c r="C2942" s="9"/>
      <c r="D2942" s="9"/>
      <c r="E2942" s="9"/>
      <c r="F2942" s="9"/>
      <c r="G2942" s="10"/>
      <c r="H2942" s="9"/>
      <c r="I2942" s="15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  <c r="AA2942" s="9"/>
    </row>
    <row r="2943">
      <c r="A2943" s="9"/>
      <c r="B2943" s="9"/>
      <c r="C2943" s="9"/>
      <c r="D2943" s="9"/>
      <c r="E2943" s="9"/>
      <c r="F2943" s="9"/>
      <c r="G2943" s="10"/>
      <c r="H2943" s="9"/>
      <c r="I2943" s="15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  <c r="AA2943" s="9"/>
    </row>
    <row r="2944">
      <c r="A2944" s="9"/>
      <c r="B2944" s="9"/>
      <c r="C2944" s="9"/>
      <c r="D2944" s="9"/>
      <c r="E2944" s="9"/>
      <c r="F2944" s="9"/>
      <c r="G2944" s="10"/>
      <c r="H2944" s="9"/>
      <c r="I2944" s="15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  <c r="AA2944" s="9"/>
    </row>
    <row r="2945">
      <c r="A2945" s="9"/>
      <c r="B2945" s="9"/>
      <c r="C2945" s="9"/>
      <c r="D2945" s="9"/>
      <c r="E2945" s="9"/>
      <c r="F2945" s="9"/>
      <c r="G2945" s="10"/>
      <c r="H2945" s="9"/>
      <c r="I2945" s="15"/>
      <c r="J2945" s="9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  <c r="AA2945" s="9"/>
    </row>
    <row r="2946">
      <c r="A2946" s="9"/>
      <c r="B2946" s="9"/>
      <c r="C2946" s="9"/>
      <c r="D2946" s="9"/>
      <c r="E2946" s="9"/>
      <c r="F2946" s="9"/>
      <c r="G2946" s="10"/>
      <c r="H2946" s="9"/>
      <c r="I2946" s="15"/>
      <c r="J2946" s="9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</row>
    <row r="2947">
      <c r="A2947" s="9"/>
      <c r="B2947" s="9"/>
      <c r="C2947" s="9"/>
      <c r="D2947" s="9"/>
      <c r="E2947" s="9"/>
      <c r="F2947" s="9"/>
      <c r="G2947" s="10"/>
      <c r="H2947" s="9"/>
      <c r="I2947" s="15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  <c r="AA2947" s="9"/>
    </row>
    <row r="2948">
      <c r="A2948" s="9"/>
      <c r="B2948" s="9"/>
      <c r="C2948" s="9"/>
      <c r="D2948" s="9"/>
      <c r="E2948" s="9"/>
      <c r="F2948" s="9"/>
      <c r="G2948" s="10"/>
      <c r="H2948" s="9"/>
      <c r="I2948" s="15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  <c r="AA2948" s="9"/>
    </row>
    <row r="2949">
      <c r="A2949" s="9"/>
      <c r="B2949" s="9"/>
      <c r="C2949" s="9"/>
      <c r="D2949" s="9"/>
      <c r="E2949" s="9"/>
      <c r="F2949" s="9"/>
      <c r="G2949" s="10"/>
      <c r="H2949" s="9"/>
      <c r="I2949" s="15"/>
      <c r="J2949" s="9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  <c r="AA2949" s="9"/>
    </row>
    <row r="2950">
      <c r="A2950" s="9"/>
      <c r="B2950" s="9"/>
      <c r="C2950" s="9"/>
      <c r="D2950" s="9"/>
      <c r="E2950" s="9"/>
      <c r="F2950" s="9"/>
      <c r="G2950" s="10"/>
      <c r="H2950" s="9"/>
      <c r="I2950" s="15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  <c r="AA2950" s="9"/>
    </row>
    <row r="2951">
      <c r="A2951" s="9"/>
      <c r="B2951" s="9"/>
      <c r="C2951" s="9"/>
      <c r="D2951" s="9"/>
      <c r="E2951" s="9"/>
      <c r="F2951" s="9"/>
      <c r="G2951" s="10"/>
      <c r="H2951" s="9"/>
      <c r="I2951" s="15"/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  <c r="AA2951" s="9"/>
    </row>
    <row r="2952">
      <c r="A2952" s="9"/>
      <c r="B2952" s="9"/>
      <c r="C2952" s="9"/>
      <c r="D2952" s="9"/>
      <c r="E2952" s="9"/>
      <c r="F2952" s="9"/>
      <c r="G2952" s="10"/>
      <c r="H2952" s="9"/>
      <c r="I2952" s="15"/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  <c r="AA2952" s="9"/>
    </row>
    <row r="2953">
      <c r="A2953" s="9"/>
      <c r="B2953" s="9"/>
      <c r="C2953" s="9"/>
      <c r="D2953" s="9"/>
      <c r="E2953" s="9"/>
      <c r="F2953" s="9"/>
      <c r="G2953" s="10"/>
      <c r="H2953" s="9"/>
      <c r="I2953" s="15"/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  <c r="AA2953" s="9"/>
    </row>
    <row r="2954">
      <c r="A2954" s="9"/>
      <c r="B2954" s="9"/>
      <c r="C2954" s="9"/>
      <c r="D2954" s="9"/>
      <c r="E2954" s="9"/>
      <c r="F2954" s="9"/>
      <c r="G2954" s="10"/>
      <c r="H2954" s="9"/>
      <c r="I2954" s="15"/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  <c r="AA2954" s="9"/>
    </row>
    <row r="2955">
      <c r="A2955" s="9"/>
      <c r="B2955" s="9"/>
      <c r="C2955" s="9"/>
      <c r="D2955" s="9"/>
      <c r="E2955" s="9"/>
      <c r="F2955" s="9"/>
      <c r="G2955" s="10"/>
      <c r="H2955" s="9"/>
      <c r="I2955" s="15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  <c r="AA2955" s="9"/>
    </row>
    <row r="2956">
      <c r="A2956" s="9"/>
      <c r="B2956" s="9"/>
      <c r="C2956" s="9"/>
      <c r="D2956" s="9"/>
      <c r="E2956" s="9"/>
      <c r="F2956" s="9"/>
      <c r="G2956" s="10"/>
      <c r="H2956" s="9"/>
      <c r="I2956" s="15"/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  <c r="AA2956" s="9"/>
    </row>
    <row r="2957">
      <c r="A2957" s="9"/>
      <c r="B2957" s="9"/>
      <c r="C2957" s="9"/>
      <c r="D2957" s="9"/>
      <c r="E2957" s="9"/>
      <c r="F2957" s="9"/>
      <c r="G2957" s="10"/>
      <c r="H2957" s="9"/>
      <c r="I2957" s="15"/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  <c r="AA2957" s="9"/>
    </row>
    <row r="2958">
      <c r="A2958" s="9"/>
      <c r="B2958" s="9"/>
      <c r="C2958" s="9"/>
      <c r="D2958" s="9"/>
      <c r="E2958" s="9"/>
      <c r="F2958" s="9"/>
      <c r="G2958" s="10"/>
      <c r="H2958" s="9"/>
      <c r="I2958" s="15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  <c r="AA2958" s="9"/>
    </row>
    <row r="2959">
      <c r="A2959" s="9"/>
      <c r="B2959" s="9"/>
      <c r="C2959" s="9"/>
      <c r="D2959" s="9"/>
      <c r="E2959" s="9"/>
      <c r="F2959" s="9"/>
      <c r="G2959" s="10"/>
      <c r="H2959" s="9"/>
      <c r="I2959" s="15"/>
      <c r="J2959" s="9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  <c r="AA2959" s="9"/>
    </row>
    <row r="2960">
      <c r="A2960" s="9"/>
      <c r="B2960" s="9"/>
      <c r="C2960" s="9"/>
      <c r="D2960" s="9"/>
      <c r="E2960" s="9"/>
      <c r="F2960" s="9"/>
      <c r="G2960" s="10"/>
      <c r="H2960" s="9"/>
      <c r="I2960" s="15"/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  <c r="AA2960" s="9"/>
    </row>
    <row r="2961">
      <c r="A2961" s="9"/>
      <c r="B2961" s="9"/>
      <c r="C2961" s="9"/>
      <c r="D2961" s="9"/>
      <c r="E2961" s="9"/>
      <c r="F2961" s="9"/>
      <c r="G2961" s="10"/>
      <c r="H2961" s="9"/>
      <c r="I2961" s="15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  <c r="AA2961" s="9"/>
    </row>
    <row r="2962">
      <c r="A2962" s="9"/>
      <c r="B2962" s="9"/>
      <c r="C2962" s="9"/>
      <c r="D2962" s="9"/>
      <c r="E2962" s="9"/>
      <c r="F2962" s="9"/>
      <c r="G2962" s="10"/>
      <c r="H2962" s="9"/>
      <c r="I2962" s="15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  <c r="AA2962" s="9"/>
    </row>
    <row r="2963">
      <c r="A2963" s="9"/>
      <c r="B2963" s="9"/>
      <c r="C2963" s="9"/>
      <c r="D2963" s="9"/>
      <c r="E2963" s="9"/>
      <c r="F2963" s="9"/>
      <c r="G2963" s="10"/>
      <c r="H2963" s="9"/>
      <c r="I2963" s="15"/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  <c r="AA2963" s="9"/>
    </row>
    <row r="2964">
      <c r="A2964" s="9"/>
      <c r="B2964" s="9"/>
      <c r="C2964" s="9"/>
      <c r="D2964" s="9"/>
      <c r="E2964" s="9"/>
      <c r="F2964" s="9"/>
      <c r="G2964" s="10"/>
      <c r="H2964" s="9"/>
      <c r="I2964" s="15"/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  <c r="AA2964" s="9"/>
    </row>
    <row r="2965">
      <c r="A2965" s="9"/>
      <c r="B2965" s="9"/>
      <c r="C2965" s="9"/>
      <c r="D2965" s="9"/>
      <c r="E2965" s="9"/>
      <c r="F2965" s="9"/>
      <c r="G2965" s="10"/>
      <c r="H2965" s="9"/>
      <c r="I2965" s="15"/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  <c r="AA2965" s="9"/>
    </row>
    <row r="2966">
      <c r="A2966" s="9"/>
      <c r="B2966" s="9"/>
      <c r="C2966" s="9"/>
      <c r="D2966" s="9"/>
      <c r="E2966" s="9"/>
      <c r="F2966" s="9"/>
      <c r="G2966" s="10"/>
      <c r="H2966" s="9"/>
      <c r="I2966" s="15"/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  <c r="AA2966" s="9"/>
    </row>
    <row r="2967">
      <c r="A2967" s="9"/>
      <c r="B2967" s="9"/>
      <c r="C2967" s="9"/>
      <c r="D2967" s="9"/>
      <c r="E2967" s="9"/>
      <c r="F2967" s="9"/>
      <c r="G2967" s="10"/>
      <c r="H2967" s="9"/>
      <c r="I2967" s="15"/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  <c r="AA2967" s="9"/>
    </row>
    <row r="2968">
      <c r="A2968" s="9"/>
      <c r="B2968" s="9"/>
      <c r="C2968" s="9"/>
      <c r="D2968" s="9"/>
      <c r="E2968" s="9"/>
      <c r="F2968" s="9"/>
      <c r="G2968" s="10"/>
      <c r="H2968" s="9"/>
      <c r="I2968" s="15"/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  <c r="AA2968" s="9"/>
    </row>
    <row r="2969">
      <c r="A2969" s="9"/>
      <c r="B2969" s="9"/>
      <c r="C2969" s="9"/>
      <c r="D2969" s="9"/>
      <c r="E2969" s="9"/>
      <c r="F2969" s="9"/>
      <c r="G2969" s="10"/>
      <c r="H2969" s="9"/>
      <c r="I2969" s="15"/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  <c r="AA2969" s="9"/>
    </row>
    <row r="2970">
      <c r="A2970" s="9"/>
      <c r="B2970" s="9"/>
      <c r="C2970" s="9"/>
      <c r="D2970" s="9"/>
      <c r="E2970" s="9"/>
      <c r="F2970" s="9"/>
      <c r="G2970" s="10"/>
      <c r="H2970" s="9"/>
      <c r="I2970" s="15"/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  <c r="AA2970" s="9"/>
    </row>
    <row r="2971">
      <c r="A2971" s="9"/>
      <c r="B2971" s="9"/>
      <c r="C2971" s="9"/>
      <c r="D2971" s="9"/>
      <c r="E2971" s="9"/>
      <c r="F2971" s="9"/>
      <c r="G2971" s="10"/>
      <c r="H2971" s="9"/>
      <c r="I2971" s="15"/>
      <c r="J2971" s="9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  <c r="AA2971" s="9"/>
    </row>
    <row r="2972">
      <c r="A2972" s="9"/>
      <c r="B2972" s="9"/>
      <c r="C2972" s="9"/>
      <c r="D2972" s="9"/>
      <c r="E2972" s="9"/>
      <c r="F2972" s="9"/>
      <c r="G2972" s="10"/>
      <c r="H2972" s="9"/>
      <c r="I2972" s="15"/>
      <c r="J2972" s="9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  <c r="AA2972" s="9"/>
    </row>
    <row r="2973">
      <c r="A2973" s="9"/>
      <c r="B2973" s="9"/>
      <c r="C2973" s="9"/>
      <c r="D2973" s="9"/>
      <c r="E2973" s="9"/>
      <c r="F2973" s="9"/>
      <c r="G2973" s="10"/>
      <c r="H2973" s="9"/>
      <c r="I2973" s="15"/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  <c r="AA2973" s="9"/>
    </row>
    <row r="2974">
      <c r="A2974" s="9"/>
      <c r="B2974" s="9"/>
      <c r="C2974" s="9"/>
      <c r="D2974" s="9"/>
      <c r="E2974" s="9"/>
      <c r="F2974" s="9"/>
      <c r="G2974" s="10"/>
      <c r="H2974" s="9"/>
      <c r="I2974" s="15"/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  <c r="AA2974" s="9"/>
    </row>
    <row r="2975">
      <c r="A2975" s="9"/>
      <c r="B2975" s="9"/>
      <c r="C2975" s="9"/>
      <c r="D2975" s="9"/>
      <c r="E2975" s="9"/>
      <c r="F2975" s="9"/>
      <c r="G2975" s="10"/>
      <c r="H2975" s="9"/>
      <c r="I2975" s="15"/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  <c r="AA2975" s="9"/>
    </row>
    <row r="2976">
      <c r="A2976" s="9"/>
      <c r="B2976" s="9"/>
      <c r="C2976" s="9"/>
      <c r="D2976" s="9"/>
      <c r="E2976" s="9"/>
      <c r="F2976" s="9"/>
      <c r="G2976" s="10"/>
      <c r="H2976" s="9"/>
      <c r="I2976" s="15"/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  <c r="AA2976" s="9"/>
    </row>
    <row r="2977">
      <c r="A2977" s="9"/>
      <c r="B2977" s="9"/>
      <c r="C2977" s="9"/>
      <c r="D2977" s="9"/>
      <c r="E2977" s="9"/>
      <c r="F2977" s="9"/>
      <c r="G2977" s="10"/>
      <c r="H2977" s="9"/>
      <c r="I2977" s="15"/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  <c r="AA2977" s="9"/>
    </row>
    <row r="2978">
      <c r="A2978" s="9"/>
      <c r="B2978" s="9"/>
      <c r="C2978" s="9"/>
      <c r="D2978" s="9"/>
      <c r="E2978" s="9"/>
      <c r="F2978" s="9"/>
      <c r="G2978" s="10"/>
      <c r="H2978" s="9"/>
      <c r="I2978" s="15"/>
      <c r="J2978" s="9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  <c r="AA2978" s="9"/>
    </row>
    <row r="2979">
      <c r="A2979" s="9"/>
      <c r="B2979" s="9"/>
      <c r="C2979" s="9"/>
      <c r="D2979" s="9"/>
      <c r="E2979" s="9"/>
      <c r="F2979" s="9"/>
      <c r="G2979" s="10"/>
      <c r="H2979" s="9"/>
      <c r="I2979" s="15"/>
      <c r="J2979" s="9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  <c r="AA2979" s="9"/>
    </row>
    <row r="2980">
      <c r="A2980" s="9"/>
      <c r="B2980" s="9"/>
      <c r="C2980" s="9"/>
      <c r="D2980" s="9"/>
      <c r="E2980" s="9"/>
      <c r="F2980" s="9"/>
      <c r="G2980" s="10"/>
      <c r="H2980" s="9"/>
      <c r="I2980" s="15"/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  <c r="AA2980" s="9"/>
    </row>
    <row r="2981">
      <c r="A2981" s="9"/>
      <c r="B2981" s="9"/>
      <c r="C2981" s="9"/>
      <c r="D2981" s="9"/>
      <c r="E2981" s="9"/>
      <c r="F2981" s="9"/>
      <c r="G2981" s="10"/>
      <c r="H2981" s="9"/>
      <c r="I2981" s="15"/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  <c r="AA2981" s="9"/>
    </row>
    <row r="2982">
      <c r="A2982" s="9"/>
      <c r="B2982" s="9"/>
      <c r="C2982" s="9"/>
      <c r="D2982" s="9"/>
      <c r="E2982" s="9"/>
      <c r="F2982" s="9"/>
      <c r="G2982" s="10"/>
      <c r="H2982" s="9"/>
      <c r="I2982" s="15"/>
      <c r="J2982" s="9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  <c r="AA2982" s="9"/>
    </row>
    <row r="2983">
      <c r="A2983" s="9"/>
      <c r="B2983" s="9"/>
      <c r="C2983" s="9"/>
      <c r="D2983" s="9"/>
      <c r="E2983" s="9"/>
      <c r="F2983" s="9"/>
      <c r="G2983" s="10"/>
      <c r="H2983" s="9"/>
      <c r="I2983" s="15"/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  <c r="AA2983" s="9"/>
    </row>
    <row r="2984">
      <c r="A2984" s="9"/>
      <c r="B2984" s="9"/>
      <c r="C2984" s="9"/>
      <c r="D2984" s="9"/>
      <c r="E2984" s="9"/>
      <c r="F2984" s="9"/>
      <c r="G2984" s="10"/>
      <c r="H2984" s="9"/>
      <c r="I2984" s="15"/>
      <c r="J2984" s="9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  <c r="AA2984" s="9"/>
    </row>
    <row r="2985">
      <c r="A2985" s="9"/>
      <c r="B2985" s="9"/>
      <c r="C2985" s="9"/>
      <c r="D2985" s="9"/>
      <c r="E2985" s="9"/>
      <c r="F2985" s="9"/>
      <c r="G2985" s="10"/>
      <c r="H2985" s="9"/>
      <c r="I2985" s="15"/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  <c r="AA2985" s="9"/>
    </row>
    <row r="2986">
      <c r="A2986" s="9"/>
      <c r="B2986" s="9"/>
      <c r="C2986" s="9"/>
      <c r="D2986" s="9"/>
      <c r="E2986" s="9"/>
      <c r="F2986" s="9"/>
      <c r="G2986" s="10"/>
      <c r="H2986" s="9"/>
      <c r="I2986" s="15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  <c r="AA2986" s="9"/>
    </row>
    <row r="2987">
      <c r="A2987" s="9"/>
      <c r="B2987" s="9"/>
      <c r="C2987" s="9"/>
      <c r="D2987" s="9"/>
      <c r="E2987" s="9"/>
      <c r="F2987" s="9"/>
      <c r="G2987" s="10"/>
      <c r="H2987" s="9"/>
      <c r="I2987" s="15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  <c r="AA2987" s="9"/>
    </row>
    <row r="2988">
      <c r="A2988" s="9"/>
      <c r="B2988" s="9"/>
      <c r="C2988" s="9"/>
      <c r="D2988" s="9"/>
      <c r="E2988" s="9"/>
      <c r="F2988" s="9"/>
      <c r="G2988" s="10"/>
      <c r="H2988" s="9"/>
      <c r="I2988" s="15"/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  <c r="AA2988" s="9"/>
    </row>
    <row r="2989">
      <c r="A2989" s="9"/>
      <c r="B2989" s="9"/>
      <c r="C2989" s="9"/>
      <c r="D2989" s="9"/>
      <c r="E2989" s="9"/>
      <c r="F2989" s="9"/>
      <c r="G2989" s="10"/>
      <c r="H2989" s="9"/>
      <c r="I2989" s="15"/>
      <c r="J2989" s="9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  <c r="AA2989" s="9"/>
    </row>
    <row r="2990">
      <c r="A2990" s="9"/>
      <c r="B2990" s="9"/>
      <c r="C2990" s="9"/>
      <c r="D2990" s="9"/>
      <c r="E2990" s="9"/>
      <c r="F2990" s="9"/>
      <c r="G2990" s="10"/>
      <c r="H2990" s="9"/>
      <c r="I2990" s="15"/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  <c r="AA2990" s="9"/>
    </row>
    <row r="2991">
      <c r="A2991" s="9"/>
      <c r="B2991" s="9"/>
      <c r="C2991" s="9"/>
      <c r="D2991" s="9"/>
      <c r="E2991" s="9"/>
      <c r="F2991" s="9"/>
      <c r="G2991" s="10"/>
      <c r="H2991" s="9"/>
      <c r="I2991" s="15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  <c r="AA2991" s="9"/>
    </row>
    <row r="2992">
      <c r="A2992" s="9"/>
      <c r="B2992" s="9"/>
      <c r="C2992" s="9"/>
      <c r="D2992" s="9"/>
      <c r="E2992" s="9"/>
      <c r="F2992" s="9"/>
      <c r="G2992" s="10"/>
      <c r="H2992" s="9"/>
      <c r="I2992" s="15"/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  <c r="AA2992" s="9"/>
    </row>
    <row r="2993">
      <c r="A2993" s="9"/>
      <c r="B2993" s="9"/>
      <c r="C2993" s="9"/>
      <c r="D2993" s="9"/>
      <c r="E2993" s="9"/>
      <c r="F2993" s="9"/>
      <c r="G2993" s="10"/>
      <c r="H2993" s="9"/>
      <c r="I2993" s="15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  <c r="AA2993" s="9"/>
    </row>
    <row r="2994">
      <c r="A2994" s="9"/>
      <c r="B2994" s="9"/>
      <c r="C2994" s="9"/>
      <c r="D2994" s="9"/>
      <c r="E2994" s="9"/>
      <c r="F2994" s="9"/>
      <c r="G2994" s="10"/>
      <c r="H2994" s="9"/>
      <c r="I2994" s="15"/>
      <c r="J2994" s="9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  <c r="AA2994" s="9"/>
    </row>
    <row r="2995">
      <c r="A2995" s="9"/>
      <c r="B2995" s="9"/>
      <c r="C2995" s="9"/>
      <c r="D2995" s="9"/>
      <c r="E2995" s="9"/>
      <c r="F2995" s="9"/>
      <c r="G2995" s="10"/>
      <c r="H2995" s="9"/>
      <c r="I2995" s="15"/>
      <c r="J2995" s="9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  <c r="AA2995" s="9"/>
    </row>
    <row r="2996">
      <c r="A2996" s="9"/>
      <c r="B2996" s="9"/>
      <c r="C2996" s="9"/>
      <c r="D2996" s="9"/>
      <c r="E2996" s="9"/>
      <c r="F2996" s="9"/>
      <c r="G2996" s="10"/>
      <c r="H2996" s="9"/>
      <c r="I2996" s="15"/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  <c r="AA2996" s="9"/>
    </row>
    <row r="2997">
      <c r="A2997" s="9"/>
      <c r="B2997" s="9"/>
      <c r="C2997" s="9"/>
      <c r="D2997" s="9"/>
      <c r="E2997" s="9"/>
      <c r="F2997" s="9"/>
      <c r="G2997" s="10"/>
      <c r="H2997" s="9"/>
      <c r="I2997" s="15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  <c r="AA2997" s="9"/>
    </row>
    <row r="2998">
      <c r="A2998" s="9"/>
      <c r="B2998" s="9"/>
      <c r="C2998" s="9"/>
      <c r="D2998" s="9"/>
      <c r="E2998" s="9"/>
      <c r="F2998" s="9"/>
      <c r="G2998" s="10"/>
      <c r="H2998" s="9"/>
      <c r="I2998" s="15"/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  <c r="AA2998" s="9"/>
    </row>
    <row r="2999">
      <c r="A2999" s="9"/>
      <c r="B2999" s="9"/>
      <c r="C2999" s="9"/>
      <c r="D2999" s="9"/>
      <c r="E2999" s="9"/>
      <c r="F2999" s="9"/>
      <c r="G2999" s="10"/>
      <c r="H2999" s="9"/>
      <c r="I2999" s="15"/>
      <c r="J2999" s="9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  <c r="AA2999" s="9"/>
    </row>
    <row r="3000">
      <c r="A3000" s="9"/>
      <c r="B3000" s="9"/>
      <c r="C3000" s="9"/>
      <c r="D3000" s="9"/>
      <c r="E3000" s="9"/>
      <c r="F3000" s="9"/>
      <c r="G3000" s="10"/>
      <c r="H3000" s="9"/>
      <c r="I3000" s="15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  <c r="AA3000" s="9"/>
    </row>
    <row r="3001">
      <c r="A3001" s="9"/>
      <c r="B3001" s="9"/>
      <c r="C3001" s="9"/>
      <c r="D3001" s="9"/>
      <c r="E3001" s="9"/>
      <c r="F3001" s="9"/>
      <c r="G3001" s="10"/>
      <c r="H3001" s="9"/>
      <c r="I3001" s="15"/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  <c r="AA3001" s="9"/>
    </row>
    <row r="3002">
      <c r="A3002" s="9"/>
      <c r="B3002" s="9"/>
      <c r="C3002" s="9"/>
      <c r="D3002" s="9"/>
      <c r="E3002" s="9"/>
      <c r="F3002" s="9"/>
      <c r="G3002" s="10"/>
      <c r="H3002" s="9"/>
      <c r="I3002" s="15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  <c r="AA3002" s="9"/>
    </row>
    <row r="3003">
      <c r="A3003" s="9"/>
      <c r="B3003" s="9"/>
      <c r="C3003" s="9"/>
      <c r="D3003" s="9"/>
      <c r="E3003" s="9"/>
      <c r="F3003" s="9"/>
      <c r="G3003" s="10"/>
      <c r="H3003" s="9"/>
      <c r="I3003" s="15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  <c r="AA3003" s="9"/>
    </row>
    <row r="3004">
      <c r="A3004" s="9"/>
      <c r="B3004" s="9"/>
      <c r="C3004" s="9"/>
      <c r="D3004" s="9"/>
      <c r="E3004" s="9"/>
      <c r="F3004" s="9"/>
      <c r="G3004" s="10"/>
      <c r="H3004" s="9"/>
      <c r="I3004" s="15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  <c r="AA3004" s="9"/>
    </row>
    <row r="3005">
      <c r="A3005" s="9"/>
      <c r="B3005" s="9"/>
      <c r="C3005" s="9"/>
      <c r="D3005" s="9"/>
      <c r="E3005" s="9"/>
      <c r="F3005" s="9"/>
      <c r="G3005" s="10"/>
      <c r="H3005" s="9"/>
      <c r="I3005" s="15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  <c r="AA3005" s="9"/>
    </row>
    <row r="3006">
      <c r="A3006" s="9"/>
      <c r="B3006" s="9"/>
      <c r="C3006" s="9"/>
      <c r="D3006" s="9"/>
      <c r="E3006" s="9"/>
      <c r="F3006" s="9"/>
      <c r="G3006" s="10"/>
      <c r="H3006" s="9"/>
      <c r="I3006" s="15"/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  <c r="AA3006" s="9"/>
    </row>
    <row r="3007">
      <c r="A3007" s="9"/>
      <c r="B3007" s="9"/>
      <c r="C3007" s="9"/>
      <c r="D3007" s="9"/>
      <c r="E3007" s="9"/>
      <c r="F3007" s="9"/>
      <c r="G3007" s="10"/>
      <c r="H3007" s="9"/>
      <c r="I3007" s="15"/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  <c r="AA3007" s="9"/>
    </row>
    <row r="3008">
      <c r="A3008" s="9"/>
      <c r="B3008" s="9"/>
      <c r="C3008" s="9"/>
      <c r="D3008" s="9"/>
      <c r="E3008" s="9"/>
      <c r="F3008" s="9"/>
      <c r="G3008" s="10"/>
      <c r="H3008" s="9"/>
      <c r="I3008" s="15"/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  <c r="AA3008" s="9"/>
    </row>
    <row r="3009">
      <c r="A3009" s="9"/>
      <c r="B3009" s="9"/>
      <c r="C3009" s="9"/>
      <c r="D3009" s="9"/>
      <c r="E3009" s="9"/>
      <c r="F3009" s="9"/>
      <c r="G3009" s="10"/>
      <c r="H3009" s="9"/>
      <c r="I3009" s="15"/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  <c r="AA3009" s="9"/>
    </row>
    <row r="3010">
      <c r="A3010" s="9"/>
      <c r="B3010" s="9"/>
      <c r="C3010" s="9"/>
      <c r="D3010" s="9"/>
      <c r="E3010" s="9"/>
      <c r="F3010" s="9"/>
      <c r="G3010" s="10"/>
      <c r="H3010" s="9"/>
      <c r="I3010" s="15"/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  <c r="AA3010" s="9"/>
    </row>
    <row r="3011">
      <c r="A3011" s="9"/>
      <c r="B3011" s="9"/>
      <c r="C3011" s="9"/>
      <c r="D3011" s="9"/>
      <c r="E3011" s="9"/>
      <c r="F3011" s="9"/>
      <c r="G3011" s="10"/>
      <c r="H3011" s="9"/>
      <c r="I3011" s="15"/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  <c r="AA3011" s="9"/>
    </row>
    <row r="3012">
      <c r="A3012" s="9"/>
      <c r="B3012" s="9"/>
      <c r="C3012" s="9"/>
      <c r="D3012" s="9"/>
      <c r="E3012" s="9"/>
      <c r="F3012" s="9"/>
      <c r="G3012" s="10"/>
      <c r="H3012" s="9"/>
      <c r="I3012" s="15"/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  <c r="AA3012" s="9"/>
    </row>
    <row r="3013">
      <c r="A3013" s="9"/>
      <c r="B3013" s="9"/>
      <c r="C3013" s="9"/>
      <c r="D3013" s="9"/>
      <c r="E3013" s="9"/>
      <c r="F3013" s="9"/>
      <c r="G3013" s="10"/>
      <c r="H3013" s="9"/>
      <c r="I3013" s="15"/>
      <c r="J3013" s="9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  <c r="AA3013" s="9"/>
    </row>
    <row r="3014">
      <c r="A3014" s="9"/>
      <c r="B3014" s="9"/>
      <c r="C3014" s="9"/>
      <c r="D3014" s="9"/>
      <c r="E3014" s="9"/>
      <c r="F3014" s="9"/>
      <c r="G3014" s="10"/>
      <c r="H3014" s="9"/>
      <c r="I3014" s="15"/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  <c r="AA3014" s="9"/>
    </row>
    <row r="3015">
      <c r="A3015" s="9"/>
      <c r="B3015" s="9"/>
      <c r="C3015" s="9"/>
      <c r="D3015" s="9"/>
      <c r="E3015" s="9"/>
      <c r="F3015" s="9"/>
      <c r="G3015" s="10"/>
      <c r="H3015" s="9"/>
      <c r="I3015" s="15"/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  <c r="AA3015" s="9"/>
    </row>
    <row r="3016">
      <c r="A3016" s="9"/>
      <c r="B3016" s="9"/>
      <c r="C3016" s="9"/>
      <c r="D3016" s="9"/>
      <c r="E3016" s="9"/>
      <c r="F3016" s="9"/>
      <c r="G3016" s="10"/>
      <c r="H3016" s="9"/>
      <c r="I3016" s="15"/>
      <c r="J3016" s="9"/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  <c r="AA3016" s="9"/>
    </row>
    <row r="3017">
      <c r="A3017" s="9"/>
      <c r="B3017" s="9"/>
      <c r="C3017" s="9"/>
      <c r="D3017" s="9"/>
      <c r="E3017" s="9"/>
      <c r="F3017" s="9"/>
      <c r="G3017" s="10"/>
      <c r="H3017" s="9"/>
      <c r="I3017" s="15"/>
      <c r="J3017" s="9"/>
      <c r="K3017" s="9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  <c r="AA3017" s="9"/>
    </row>
    <row r="3018">
      <c r="A3018" s="9"/>
      <c r="B3018" s="9"/>
      <c r="C3018" s="9"/>
      <c r="D3018" s="9"/>
      <c r="E3018" s="9"/>
      <c r="F3018" s="9"/>
      <c r="G3018" s="10"/>
      <c r="H3018" s="9"/>
      <c r="I3018" s="15"/>
      <c r="J3018" s="9"/>
      <c r="K3018" s="9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  <c r="AA3018" s="9"/>
    </row>
    <row r="3019">
      <c r="A3019" s="9"/>
      <c r="B3019" s="9"/>
      <c r="C3019" s="9"/>
      <c r="D3019" s="9"/>
      <c r="E3019" s="9"/>
      <c r="F3019" s="9"/>
      <c r="G3019" s="10"/>
      <c r="H3019" s="9"/>
      <c r="I3019" s="15"/>
      <c r="J3019" s="9"/>
      <c r="K3019" s="9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  <c r="AA3019" s="9"/>
    </row>
    <row r="3020">
      <c r="A3020" s="9"/>
      <c r="B3020" s="9"/>
      <c r="C3020" s="9"/>
      <c r="D3020" s="9"/>
      <c r="E3020" s="9"/>
      <c r="F3020" s="9"/>
      <c r="G3020" s="10"/>
      <c r="H3020" s="9"/>
      <c r="I3020" s="15"/>
      <c r="J3020" s="9"/>
      <c r="K3020" s="9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  <c r="AA3020" s="9"/>
    </row>
    <row r="3021">
      <c r="A3021" s="9"/>
      <c r="B3021" s="9"/>
      <c r="C3021" s="9"/>
      <c r="D3021" s="9"/>
      <c r="E3021" s="9"/>
      <c r="F3021" s="9"/>
      <c r="G3021" s="10"/>
      <c r="H3021" s="9"/>
      <c r="I3021" s="15"/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  <c r="AA3021" s="9"/>
    </row>
    <row r="3022">
      <c r="A3022" s="9"/>
      <c r="B3022" s="9"/>
      <c r="C3022" s="9"/>
      <c r="D3022" s="9"/>
      <c r="E3022" s="9"/>
      <c r="F3022" s="9"/>
      <c r="G3022" s="10"/>
      <c r="H3022" s="9"/>
      <c r="I3022" s="15"/>
      <c r="J3022" s="9"/>
      <c r="K3022" s="9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  <c r="AA3022" s="9"/>
    </row>
    <row r="3023">
      <c r="A3023" s="9"/>
      <c r="B3023" s="9"/>
      <c r="C3023" s="9"/>
      <c r="D3023" s="9"/>
      <c r="E3023" s="9"/>
      <c r="F3023" s="9"/>
      <c r="G3023" s="10"/>
      <c r="H3023" s="9"/>
      <c r="I3023" s="15"/>
      <c r="J3023" s="9"/>
      <c r="K3023" s="9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  <c r="AA3023" s="9"/>
    </row>
    <row r="3024">
      <c r="A3024" s="9"/>
      <c r="B3024" s="9"/>
      <c r="C3024" s="9"/>
      <c r="D3024" s="9"/>
      <c r="E3024" s="9"/>
      <c r="F3024" s="9"/>
      <c r="G3024" s="10"/>
      <c r="H3024" s="9"/>
      <c r="I3024" s="15"/>
      <c r="J3024" s="9"/>
      <c r="K3024" s="9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  <c r="AA3024" s="9"/>
    </row>
    <row r="3025">
      <c r="A3025" s="9"/>
      <c r="B3025" s="9"/>
      <c r="C3025" s="9"/>
      <c r="D3025" s="9"/>
      <c r="E3025" s="9"/>
      <c r="F3025" s="9"/>
      <c r="G3025" s="10"/>
      <c r="H3025" s="9"/>
      <c r="I3025" s="15"/>
      <c r="J3025" s="9"/>
      <c r="K3025" s="9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  <c r="AA3025" s="9"/>
    </row>
    <row r="3026">
      <c r="A3026" s="9"/>
      <c r="B3026" s="9"/>
      <c r="C3026" s="9"/>
      <c r="D3026" s="9"/>
      <c r="E3026" s="9"/>
      <c r="F3026" s="9"/>
      <c r="G3026" s="10"/>
      <c r="H3026" s="9"/>
      <c r="I3026" s="15"/>
      <c r="J3026" s="9"/>
      <c r="K3026" s="9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  <c r="AA3026" s="9"/>
    </row>
    <row r="3027">
      <c r="A3027" s="9"/>
      <c r="B3027" s="9"/>
      <c r="C3027" s="9"/>
      <c r="D3027" s="9"/>
      <c r="E3027" s="9"/>
      <c r="F3027" s="9"/>
      <c r="G3027" s="10"/>
      <c r="H3027" s="9"/>
      <c r="I3027" s="15"/>
      <c r="J3027" s="9"/>
      <c r="K3027" s="9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  <c r="AA3027" s="9"/>
    </row>
    <row r="3028">
      <c r="A3028" s="9"/>
      <c r="B3028" s="9"/>
      <c r="C3028" s="9"/>
      <c r="D3028" s="9"/>
      <c r="E3028" s="9"/>
      <c r="F3028" s="9"/>
      <c r="G3028" s="10"/>
      <c r="H3028" s="9"/>
      <c r="I3028" s="15"/>
      <c r="J3028" s="9"/>
      <c r="K3028" s="9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  <c r="AA3028" s="9"/>
    </row>
    <row r="3029">
      <c r="A3029" s="9"/>
      <c r="B3029" s="9"/>
      <c r="C3029" s="9"/>
      <c r="D3029" s="9"/>
      <c r="E3029" s="9"/>
      <c r="F3029" s="9"/>
      <c r="G3029" s="10"/>
      <c r="H3029" s="9"/>
      <c r="I3029" s="15"/>
      <c r="J3029" s="9"/>
      <c r="K3029" s="9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  <c r="AA3029" s="9"/>
    </row>
    <row r="3030">
      <c r="A3030" s="9"/>
      <c r="B3030" s="9"/>
      <c r="C3030" s="9"/>
      <c r="D3030" s="9"/>
      <c r="E3030" s="9"/>
      <c r="F3030" s="9"/>
      <c r="G3030" s="10"/>
      <c r="H3030" s="9"/>
      <c r="I3030" s="15"/>
      <c r="J3030" s="9"/>
      <c r="K3030" s="9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  <c r="AA3030" s="9"/>
    </row>
    <row r="3031">
      <c r="A3031" s="9"/>
      <c r="B3031" s="9"/>
      <c r="C3031" s="9"/>
      <c r="D3031" s="9"/>
      <c r="E3031" s="9"/>
      <c r="F3031" s="9"/>
      <c r="G3031" s="10"/>
      <c r="H3031" s="9"/>
      <c r="I3031" s="15"/>
      <c r="J3031" s="9"/>
      <c r="K3031" s="9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  <c r="AA3031" s="9"/>
    </row>
    <row r="3032">
      <c r="A3032" s="9"/>
      <c r="B3032" s="9"/>
      <c r="C3032" s="9"/>
      <c r="D3032" s="9"/>
      <c r="E3032" s="9"/>
      <c r="F3032" s="9"/>
      <c r="G3032" s="10"/>
      <c r="H3032" s="9"/>
      <c r="I3032" s="15"/>
      <c r="J3032" s="9"/>
      <c r="K3032" s="9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  <c r="AA3032" s="9"/>
    </row>
    <row r="3033">
      <c r="A3033" s="9"/>
      <c r="B3033" s="9"/>
      <c r="C3033" s="9"/>
      <c r="D3033" s="9"/>
      <c r="E3033" s="9"/>
      <c r="F3033" s="9"/>
      <c r="G3033" s="10"/>
      <c r="H3033" s="9"/>
      <c r="I3033" s="15"/>
      <c r="J3033" s="9"/>
      <c r="K3033" s="9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  <c r="AA3033" s="9"/>
    </row>
    <row r="3034">
      <c r="A3034" s="9"/>
      <c r="B3034" s="9"/>
      <c r="C3034" s="9"/>
      <c r="D3034" s="9"/>
      <c r="E3034" s="9"/>
      <c r="F3034" s="9"/>
      <c r="G3034" s="10"/>
      <c r="H3034" s="9"/>
      <c r="I3034" s="15"/>
      <c r="J3034" s="9"/>
      <c r="K3034" s="9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  <c r="AA3034" s="9"/>
    </row>
    <row r="3035">
      <c r="A3035" s="9"/>
      <c r="B3035" s="9"/>
      <c r="C3035" s="9"/>
      <c r="D3035" s="9"/>
      <c r="E3035" s="9"/>
      <c r="F3035" s="9"/>
      <c r="G3035" s="10"/>
      <c r="H3035" s="9"/>
      <c r="I3035" s="15"/>
      <c r="J3035" s="9"/>
      <c r="K3035" s="9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  <c r="AA3035" s="9"/>
    </row>
    <row r="3036">
      <c r="A3036" s="9"/>
      <c r="B3036" s="9"/>
      <c r="C3036" s="9"/>
      <c r="D3036" s="9"/>
      <c r="E3036" s="9"/>
      <c r="F3036" s="9"/>
      <c r="G3036" s="10"/>
      <c r="H3036" s="9"/>
      <c r="I3036" s="15"/>
      <c r="J3036" s="9"/>
      <c r="K3036" s="9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  <c r="AA3036" s="9"/>
    </row>
    <row r="3037">
      <c r="A3037" s="9"/>
      <c r="B3037" s="9"/>
      <c r="C3037" s="9"/>
      <c r="D3037" s="9"/>
      <c r="E3037" s="9"/>
      <c r="F3037" s="9"/>
      <c r="G3037" s="10"/>
      <c r="H3037" s="9"/>
      <c r="I3037" s="15"/>
      <c r="J3037" s="9"/>
      <c r="K3037" s="9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  <c r="AA3037" s="9"/>
    </row>
    <row r="3038">
      <c r="A3038" s="9"/>
      <c r="B3038" s="9"/>
      <c r="C3038" s="9"/>
      <c r="D3038" s="9"/>
      <c r="E3038" s="9"/>
      <c r="F3038" s="9"/>
      <c r="G3038" s="10"/>
      <c r="H3038" s="9"/>
      <c r="I3038" s="15"/>
      <c r="J3038" s="9"/>
      <c r="K3038" s="9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  <c r="AA3038" s="9"/>
    </row>
    <row r="3039">
      <c r="A3039" s="9"/>
      <c r="B3039" s="9"/>
      <c r="C3039" s="9"/>
      <c r="D3039" s="9"/>
      <c r="E3039" s="9"/>
      <c r="F3039" s="9"/>
      <c r="G3039" s="10"/>
      <c r="H3039" s="9"/>
      <c r="I3039" s="15"/>
      <c r="J3039" s="9"/>
      <c r="K3039" s="9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  <c r="AA3039" s="9"/>
    </row>
    <row r="3040">
      <c r="A3040" s="9"/>
      <c r="B3040" s="9"/>
      <c r="C3040" s="9"/>
      <c r="D3040" s="9"/>
      <c r="E3040" s="9"/>
      <c r="F3040" s="9"/>
      <c r="G3040" s="10"/>
      <c r="H3040" s="9"/>
      <c r="I3040" s="15"/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  <c r="AA3040" s="9"/>
    </row>
    <row r="3041">
      <c r="A3041" s="9"/>
      <c r="B3041" s="9"/>
      <c r="C3041" s="9"/>
      <c r="D3041" s="9"/>
      <c r="E3041" s="9"/>
      <c r="F3041" s="9"/>
      <c r="G3041" s="10"/>
      <c r="H3041" s="9"/>
      <c r="I3041" s="15"/>
      <c r="J3041" s="9"/>
      <c r="K3041" s="9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  <c r="AA3041" s="9"/>
    </row>
    <row r="3042">
      <c r="A3042" s="9"/>
      <c r="B3042" s="9"/>
      <c r="C3042" s="9"/>
      <c r="D3042" s="9"/>
      <c r="E3042" s="9"/>
      <c r="F3042" s="9"/>
      <c r="G3042" s="10"/>
      <c r="H3042" s="9"/>
      <c r="I3042" s="15"/>
      <c r="J3042" s="9"/>
      <c r="K3042" s="9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  <c r="AA3042" s="9"/>
    </row>
    <row r="3043">
      <c r="A3043" s="9"/>
      <c r="B3043" s="9"/>
      <c r="C3043" s="9"/>
      <c r="D3043" s="9"/>
      <c r="E3043" s="9"/>
      <c r="F3043" s="9"/>
      <c r="G3043" s="10"/>
      <c r="H3043" s="9"/>
      <c r="I3043" s="15"/>
      <c r="J3043" s="9"/>
      <c r="K3043" s="9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  <c r="AA3043" s="9"/>
    </row>
    <row r="3044">
      <c r="A3044" s="9"/>
      <c r="B3044" s="9"/>
      <c r="C3044" s="9"/>
      <c r="D3044" s="9"/>
      <c r="E3044" s="9"/>
      <c r="F3044" s="9"/>
      <c r="G3044" s="10"/>
      <c r="H3044" s="9"/>
      <c r="I3044" s="15"/>
      <c r="J3044" s="9"/>
      <c r="K3044" s="9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  <c r="AA3044" s="9"/>
    </row>
    <row r="3045">
      <c r="A3045" s="9"/>
      <c r="B3045" s="9"/>
      <c r="C3045" s="9"/>
      <c r="D3045" s="9"/>
      <c r="E3045" s="9"/>
      <c r="F3045" s="9"/>
      <c r="G3045" s="10"/>
      <c r="H3045" s="9"/>
      <c r="I3045" s="15"/>
      <c r="J3045" s="9"/>
      <c r="K3045" s="9"/>
      <c r="L3045" s="9"/>
      <c r="M3045" s="9"/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  <c r="Z3045" s="9"/>
      <c r="AA3045" s="9"/>
    </row>
    <row r="3046">
      <c r="A3046" s="9"/>
      <c r="B3046" s="9"/>
      <c r="C3046" s="9"/>
      <c r="D3046" s="9"/>
      <c r="E3046" s="9"/>
      <c r="F3046" s="9"/>
      <c r="G3046" s="10"/>
      <c r="H3046" s="9"/>
      <c r="I3046" s="15"/>
      <c r="J3046" s="9"/>
      <c r="K3046" s="9"/>
      <c r="L3046" s="9"/>
      <c r="M3046" s="9"/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  <c r="Z3046" s="9"/>
      <c r="AA3046" s="9"/>
    </row>
    <row r="3047">
      <c r="A3047" s="9"/>
      <c r="B3047" s="9"/>
      <c r="C3047" s="9"/>
      <c r="D3047" s="9"/>
      <c r="E3047" s="9"/>
      <c r="F3047" s="9"/>
      <c r="G3047" s="10"/>
      <c r="H3047" s="9"/>
      <c r="I3047" s="15"/>
      <c r="J3047" s="9"/>
      <c r="K3047" s="9"/>
      <c r="L3047" s="9"/>
      <c r="M3047" s="9"/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  <c r="Z3047" s="9"/>
      <c r="AA3047" s="9"/>
    </row>
    <row r="3048">
      <c r="A3048" s="9"/>
      <c r="B3048" s="9"/>
      <c r="C3048" s="9"/>
      <c r="D3048" s="9"/>
      <c r="E3048" s="9"/>
      <c r="F3048" s="9"/>
      <c r="G3048" s="10"/>
      <c r="H3048" s="9"/>
      <c r="I3048" s="15"/>
      <c r="J3048" s="9"/>
      <c r="K3048" s="9"/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  <c r="Z3048" s="9"/>
      <c r="AA3048" s="9"/>
    </row>
    <row r="3049">
      <c r="A3049" s="9"/>
      <c r="B3049" s="9"/>
      <c r="C3049" s="9"/>
      <c r="D3049" s="9"/>
      <c r="E3049" s="9"/>
      <c r="F3049" s="9"/>
      <c r="G3049" s="10"/>
      <c r="H3049" s="9"/>
      <c r="I3049" s="15"/>
      <c r="J3049" s="9"/>
      <c r="K3049" s="9"/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  <c r="Z3049" s="9"/>
      <c r="AA3049" s="9"/>
    </row>
    <row r="3050">
      <c r="A3050" s="9"/>
      <c r="B3050" s="9"/>
      <c r="C3050" s="9"/>
      <c r="D3050" s="9"/>
      <c r="E3050" s="9"/>
      <c r="F3050" s="9"/>
      <c r="G3050" s="10"/>
      <c r="H3050" s="9"/>
      <c r="I3050" s="15"/>
      <c r="J3050" s="9"/>
      <c r="K3050" s="9"/>
      <c r="L3050" s="9"/>
      <c r="M3050" s="9"/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  <c r="Z3050" s="9"/>
      <c r="AA3050" s="9"/>
    </row>
    <row r="3051">
      <c r="A3051" s="9"/>
      <c r="B3051" s="9"/>
      <c r="C3051" s="9"/>
      <c r="D3051" s="9"/>
      <c r="E3051" s="9"/>
      <c r="F3051" s="9"/>
      <c r="G3051" s="10"/>
      <c r="H3051" s="9"/>
      <c r="I3051" s="15"/>
      <c r="J3051" s="9"/>
      <c r="K3051" s="9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  <c r="AA3051" s="9"/>
    </row>
    <row r="3052">
      <c r="A3052" s="9"/>
      <c r="B3052" s="9"/>
      <c r="C3052" s="9"/>
      <c r="D3052" s="9"/>
      <c r="E3052" s="9"/>
      <c r="F3052" s="9"/>
      <c r="G3052" s="10"/>
      <c r="H3052" s="9"/>
      <c r="I3052" s="15"/>
      <c r="J3052" s="9"/>
      <c r="K3052" s="9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  <c r="AA3052" s="9"/>
    </row>
    <row r="3053">
      <c r="A3053" s="9"/>
      <c r="B3053" s="9"/>
      <c r="C3053" s="9"/>
      <c r="D3053" s="9"/>
      <c r="E3053" s="9"/>
      <c r="F3053" s="9"/>
      <c r="G3053" s="10"/>
      <c r="H3053" s="9"/>
      <c r="I3053" s="15"/>
      <c r="J3053" s="9"/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  <c r="AA3053" s="9"/>
    </row>
    <row r="3054">
      <c r="A3054" s="9"/>
      <c r="B3054" s="9"/>
      <c r="C3054" s="9"/>
      <c r="D3054" s="9"/>
      <c r="E3054" s="9"/>
      <c r="F3054" s="9"/>
      <c r="G3054" s="10"/>
      <c r="H3054" s="9"/>
      <c r="I3054" s="15"/>
      <c r="J3054" s="9"/>
      <c r="K3054" s="9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  <c r="AA3054" s="9"/>
    </row>
    <row r="3055">
      <c r="A3055" s="9"/>
      <c r="B3055" s="9"/>
      <c r="C3055" s="9"/>
      <c r="D3055" s="9"/>
      <c r="E3055" s="9"/>
      <c r="F3055" s="9"/>
      <c r="G3055" s="10"/>
      <c r="H3055" s="9"/>
      <c r="I3055" s="15"/>
      <c r="J3055" s="9"/>
      <c r="K3055" s="9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  <c r="AA3055" s="9"/>
    </row>
    <row r="3056">
      <c r="A3056" s="9"/>
      <c r="B3056" s="9"/>
      <c r="C3056" s="9"/>
      <c r="D3056" s="9"/>
      <c r="E3056" s="9"/>
      <c r="F3056" s="9"/>
      <c r="G3056" s="10"/>
      <c r="H3056" s="9"/>
      <c r="I3056" s="15"/>
      <c r="J3056" s="9"/>
      <c r="K3056" s="9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  <c r="AA3056" s="9"/>
    </row>
    <row r="3057">
      <c r="A3057" s="9"/>
      <c r="B3057" s="9"/>
      <c r="C3057" s="9"/>
      <c r="D3057" s="9"/>
      <c r="E3057" s="9"/>
      <c r="F3057" s="9"/>
      <c r="G3057" s="10"/>
      <c r="H3057" s="9"/>
      <c r="I3057" s="15"/>
      <c r="J3057" s="9"/>
      <c r="K3057" s="9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  <c r="AA3057" s="9"/>
    </row>
    <row r="3058">
      <c r="A3058" s="9"/>
      <c r="B3058" s="9"/>
      <c r="C3058" s="9"/>
      <c r="D3058" s="9"/>
      <c r="E3058" s="9"/>
      <c r="F3058" s="9"/>
      <c r="G3058" s="10"/>
      <c r="H3058" s="9"/>
      <c r="I3058" s="15"/>
      <c r="J3058" s="9"/>
      <c r="K3058" s="9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  <c r="AA3058" s="9"/>
    </row>
    <row r="3059">
      <c r="A3059" s="9"/>
      <c r="B3059" s="9"/>
      <c r="C3059" s="9"/>
      <c r="D3059" s="9"/>
      <c r="E3059" s="9"/>
      <c r="F3059" s="9"/>
      <c r="G3059" s="10"/>
      <c r="H3059" s="9"/>
      <c r="I3059" s="15"/>
      <c r="J3059" s="9"/>
      <c r="K3059" s="9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  <c r="AA3059" s="9"/>
    </row>
    <row r="3060">
      <c r="A3060" s="9"/>
      <c r="B3060" s="9"/>
      <c r="C3060" s="9"/>
      <c r="D3060" s="9"/>
      <c r="E3060" s="9"/>
      <c r="F3060" s="9"/>
      <c r="G3060" s="10"/>
      <c r="H3060" s="9"/>
      <c r="I3060" s="15"/>
      <c r="J3060" s="9"/>
      <c r="K3060" s="9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  <c r="AA3060" s="9"/>
    </row>
    <row r="3061">
      <c r="A3061" s="9"/>
      <c r="B3061" s="9"/>
      <c r="C3061" s="9"/>
      <c r="D3061" s="9"/>
      <c r="E3061" s="9"/>
      <c r="F3061" s="9"/>
      <c r="G3061" s="10"/>
      <c r="H3061" s="9"/>
      <c r="I3061" s="15"/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  <c r="AA3061" s="9"/>
    </row>
    <row r="3062">
      <c r="A3062" s="9"/>
      <c r="B3062" s="9"/>
      <c r="C3062" s="9"/>
      <c r="D3062" s="9"/>
      <c r="E3062" s="9"/>
      <c r="F3062" s="9"/>
      <c r="G3062" s="10"/>
      <c r="H3062" s="9"/>
      <c r="I3062" s="15"/>
      <c r="J3062" s="9"/>
      <c r="K3062" s="9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  <c r="AA3062" s="9"/>
    </row>
    <row r="3063">
      <c r="A3063" s="9"/>
      <c r="B3063" s="9"/>
      <c r="C3063" s="9"/>
      <c r="D3063" s="9"/>
      <c r="E3063" s="9"/>
      <c r="F3063" s="9"/>
      <c r="G3063" s="10"/>
      <c r="H3063" s="9"/>
      <c r="I3063" s="15"/>
      <c r="J3063" s="9"/>
      <c r="K3063" s="9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  <c r="AA3063" s="9"/>
    </row>
    <row r="3064">
      <c r="A3064" s="9"/>
      <c r="B3064" s="9"/>
      <c r="C3064" s="9"/>
      <c r="D3064" s="9"/>
      <c r="E3064" s="9"/>
      <c r="F3064" s="9"/>
      <c r="G3064" s="10"/>
      <c r="H3064" s="9"/>
      <c r="I3064" s="15"/>
      <c r="J3064" s="9"/>
      <c r="K3064" s="9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  <c r="AA3064" s="9"/>
    </row>
    <row r="3065">
      <c r="A3065" s="9"/>
      <c r="B3065" s="9"/>
      <c r="C3065" s="9"/>
      <c r="D3065" s="9"/>
      <c r="E3065" s="9"/>
      <c r="F3065" s="9"/>
      <c r="G3065" s="10"/>
      <c r="H3065" s="9"/>
      <c r="I3065" s="15"/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  <c r="AA3065" s="9"/>
    </row>
    <row r="3066">
      <c r="A3066" s="9"/>
      <c r="B3066" s="9"/>
      <c r="C3066" s="9"/>
      <c r="D3066" s="9"/>
      <c r="E3066" s="9"/>
      <c r="F3066" s="9"/>
      <c r="G3066" s="10"/>
      <c r="H3066" s="9"/>
      <c r="I3066" s="15"/>
      <c r="J3066" s="9"/>
      <c r="K3066" s="9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  <c r="AA3066" s="9"/>
    </row>
    <row r="3067">
      <c r="A3067" s="9"/>
      <c r="B3067" s="9"/>
      <c r="C3067" s="9"/>
      <c r="D3067" s="9"/>
      <c r="E3067" s="9"/>
      <c r="F3067" s="9"/>
      <c r="G3067" s="10"/>
      <c r="H3067" s="9"/>
      <c r="I3067" s="15"/>
      <c r="J3067" s="9"/>
      <c r="K3067" s="9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  <c r="AA3067" s="9"/>
    </row>
    <row r="3068">
      <c r="A3068" s="9"/>
      <c r="B3068" s="9"/>
      <c r="C3068" s="9"/>
      <c r="D3068" s="9"/>
      <c r="E3068" s="9"/>
      <c r="F3068" s="9"/>
      <c r="G3068" s="10"/>
      <c r="H3068" s="9"/>
      <c r="I3068" s="15"/>
      <c r="J3068" s="9"/>
      <c r="K3068" s="9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  <c r="AA3068" s="9"/>
    </row>
    <row r="3069">
      <c r="A3069" s="9"/>
      <c r="B3069" s="9"/>
      <c r="C3069" s="9"/>
      <c r="D3069" s="9"/>
      <c r="E3069" s="9"/>
      <c r="F3069" s="9"/>
      <c r="G3069" s="10"/>
      <c r="H3069" s="9"/>
      <c r="I3069" s="15"/>
      <c r="J3069" s="9"/>
      <c r="K3069" s="9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  <c r="AA3069" s="9"/>
    </row>
    <row r="3070">
      <c r="A3070" s="9"/>
      <c r="B3070" s="9"/>
      <c r="C3070" s="9"/>
      <c r="D3070" s="9"/>
      <c r="E3070" s="9"/>
      <c r="F3070" s="9"/>
      <c r="G3070" s="10"/>
      <c r="H3070" s="9"/>
      <c r="I3070" s="15"/>
      <c r="J3070" s="9"/>
      <c r="K3070" s="9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  <c r="AA3070" s="9"/>
    </row>
    <row r="3071">
      <c r="A3071" s="9"/>
      <c r="B3071" s="9"/>
      <c r="C3071" s="9"/>
      <c r="D3071" s="9"/>
      <c r="E3071" s="9"/>
      <c r="F3071" s="9"/>
      <c r="G3071" s="10"/>
      <c r="H3071" s="9"/>
      <c r="I3071" s="15"/>
      <c r="J3071" s="9"/>
      <c r="K3071" s="9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  <c r="AA3071" s="9"/>
    </row>
    <row r="3072">
      <c r="A3072" s="9"/>
      <c r="B3072" s="9"/>
      <c r="C3072" s="9"/>
      <c r="D3072" s="9"/>
      <c r="E3072" s="9"/>
      <c r="F3072" s="9"/>
      <c r="G3072" s="10"/>
      <c r="H3072" s="9"/>
      <c r="I3072" s="15"/>
      <c r="J3072" s="9"/>
      <c r="K3072" s="9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  <c r="AA3072" s="9"/>
    </row>
    <row r="3073">
      <c r="A3073" s="9"/>
      <c r="B3073" s="9"/>
      <c r="C3073" s="9"/>
      <c r="D3073" s="9"/>
      <c r="E3073" s="9"/>
      <c r="F3073" s="9"/>
      <c r="G3073" s="10"/>
      <c r="H3073" s="9"/>
      <c r="I3073" s="15"/>
      <c r="J3073" s="9"/>
      <c r="K3073" s="9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  <c r="AA3073" s="9"/>
    </row>
    <row r="3074">
      <c r="A3074" s="9"/>
      <c r="B3074" s="9"/>
      <c r="C3074" s="9"/>
      <c r="D3074" s="9"/>
      <c r="E3074" s="9"/>
      <c r="F3074" s="9"/>
      <c r="G3074" s="10"/>
      <c r="H3074" s="9"/>
      <c r="I3074" s="15"/>
      <c r="J3074" s="9"/>
      <c r="K3074" s="9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  <c r="AA3074" s="9"/>
    </row>
    <row r="3075">
      <c r="A3075" s="9"/>
      <c r="B3075" s="9"/>
      <c r="C3075" s="9"/>
      <c r="D3075" s="9"/>
      <c r="E3075" s="9"/>
      <c r="F3075" s="9"/>
      <c r="G3075" s="10"/>
      <c r="H3075" s="9"/>
      <c r="I3075" s="15"/>
      <c r="J3075" s="9"/>
      <c r="K3075" s="9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  <c r="AA3075" s="9"/>
    </row>
    <row r="3076">
      <c r="A3076" s="9"/>
      <c r="B3076" s="9"/>
      <c r="C3076" s="9"/>
      <c r="D3076" s="9"/>
      <c r="E3076" s="9"/>
      <c r="F3076" s="9"/>
      <c r="G3076" s="10"/>
      <c r="H3076" s="9"/>
      <c r="I3076" s="15"/>
      <c r="J3076" s="9"/>
      <c r="K3076" s="9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  <c r="AA3076" s="9"/>
    </row>
    <row r="3077">
      <c r="A3077" s="9"/>
      <c r="B3077" s="9"/>
      <c r="C3077" s="9"/>
      <c r="D3077" s="9"/>
      <c r="E3077" s="9"/>
      <c r="F3077" s="9"/>
      <c r="G3077" s="10"/>
      <c r="H3077" s="9"/>
      <c r="I3077" s="15"/>
      <c r="J3077" s="9"/>
      <c r="K3077" s="9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  <c r="AA3077" s="9"/>
    </row>
    <row r="3078">
      <c r="A3078" s="9"/>
      <c r="B3078" s="9"/>
      <c r="C3078" s="9"/>
      <c r="D3078" s="9"/>
      <c r="E3078" s="9"/>
      <c r="F3078" s="9"/>
      <c r="G3078" s="10"/>
      <c r="H3078" s="9"/>
      <c r="I3078" s="15"/>
      <c r="J3078" s="9"/>
      <c r="K3078" s="9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  <c r="AA3078" s="9"/>
    </row>
    <row r="3079">
      <c r="A3079" s="9"/>
      <c r="B3079" s="9"/>
      <c r="C3079" s="9"/>
      <c r="D3079" s="9"/>
      <c r="E3079" s="9"/>
      <c r="F3079" s="9"/>
      <c r="G3079" s="10"/>
      <c r="H3079" s="9"/>
      <c r="I3079" s="15"/>
      <c r="J3079" s="9"/>
      <c r="K3079" s="9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  <c r="AA3079" s="9"/>
    </row>
    <row r="3080">
      <c r="A3080" s="9"/>
      <c r="B3080" s="9"/>
      <c r="C3080" s="9"/>
      <c r="D3080" s="9"/>
      <c r="E3080" s="9"/>
      <c r="F3080" s="9"/>
      <c r="G3080" s="10"/>
      <c r="H3080" s="9"/>
      <c r="I3080" s="15"/>
      <c r="J3080" s="9"/>
      <c r="K3080" s="9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  <c r="AA3080" s="9"/>
    </row>
    <row r="3081">
      <c r="A3081" s="9"/>
      <c r="B3081" s="9"/>
      <c r="C3081" s="9"/>
      <c r="D3081" s="9"/>
      <c r="E3081" s="9"/>
      <c r="F3081" s="9"/>
      <c r="G3081" s="10"/>
      <c r="H3081" s="9"/>
      <c r="I3081" s="15"/>
      <c r="J3081" s="9"/>
      <c r="K3081" s="9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  <c r="AA3081" s="9"/>
    </row>
    <row r="3082">
      <c r="A3082" s="9"/>
      <c r="B3082" s="9"/>
      <c r="C3082" s="9"/>
      <c r="D3082" s="9"/>
      <c r="E3082" s="9"/>
      <c r="F3082" s="9"/>
      <c r="G3082" s="10"/>
      <c r="H3082" s="9"/>
      <c r="I3082" s="15"/>
      <c r="J3082" s="9"/>
      <c r="K3082" s="9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  <c r="AA3082" s="9"/>
    </row>
    <row r="3083">
      <c r="A3083" s="9"/>
      <c r="B3083" s="9"/>
      <c r="C3083" s="9"/>
      <c r="D3083" s="9"/>
      <c r="E3083" s="9"/>
      <c r="F3083" s="9"/>
      <c r="G3083" s="10"/>
      <c r="H3083" s="9"/>
      <c r="I3083" s="15"/>
      <c r="J3083" s="9"/>
      <c r="K3083" s="9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  <c r="AA3083" s="9"/>
    </row>
    <row r="3084">
      <c r="A3084" s="9"/>
      <c r="B3084" s="9"/>
      <c r="C3084" s="9"/>
      <c r="D3084" s="9"/>
      <c r="E3084" s="9"/>
      <c r="F3084" s="9"/>
      <c r="G3084" s="10"/>
      <c r="H3084" s="9"/>
      <c r="I3084" s="15"/>
      <c r="J3084" s="9"/>
      <c r="K3084" s="9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  <c r="AA3084" s="9"/>
    </row>
    <row r="3085">
      <c r="A3085" s="9"/>
      <c r="B3085" s="9"/>
      <c r="C3085" s="9"/>
      <c r="D3085" s="9"/>
      <c r="E3085" s="9"/>
      <c r="F3085" s="9"/>
      <c r="G3085" s="10"/>
      <c r="H3085" s="9"/>
      <c r="I3085" s="15"/>
      <c r="J3085" s="9"/>
      <c r="K3085" s="9"/>
      <c r="L3085" s="9"/>
      <c r="M3085" s="9"/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  <c r="Z3085" s="9"/>
      <c r="AA3085" s="9"/>
    </row>
    <row r="3086">
      <c r="A3086" s="9"/>
      <c r="B3086" s="9"/>
      <c r="C3086" s="9"/>
      <c r="D3086" s="9"/>
      <c r="E3086" s="9"/>
      <c r="F3086" s="9"/>
      <c r="G3086" s="10"/>
      <c r="H3086" s="9"/>
      <c r="I3086" s="15"/>
      <c r="J3086" s="9"/>
      <c r="K3086" s="9"/>
      <c r="L3086" s="9"/>
      <c r="M3086" s="9"/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  <c r="Z3086" s="9"/>
      <c r="AA3086" s="9"/>
    </row>
    <row r="3087">
      <c r="A3087" s="9"/>
      <c r="B3087" s="9"/>
      <c r="C3087" s="9"/>
      <c r="D3087" s="9"/>
      <c r="E3087" s="9"/>
      <c r="F3087" s="9"/>
      <c r="G3087" s="10"/>
      <c r="H3087" s="9"/>
      <c r="I3087" s="15"/>
      <c r="J3087" s="9"/>
      <c r="K3087" s="9"/>
      <c r="L3087" s="9"/>
      <c r="M3087" s="9"/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  <c r="Z3087" s="9"/>
      <c r="AA3087" s="9"/>
    </row>
    <row r="3088">
      <c r="A3088" s="9"/>
      <c r="B3088" s="9"/>
      <c r="C3088" s="9"/>
      <c r="D3088" s="9"/>
      <c r="E3088" s="9"/>
      <c r="F3088" s="9"/>
      <c r="G3088" s="10"/>
      <c r="H3088" s="9"/>
      <c r="I3088" s="15"/>
      <c r="J3088" s="9"/>
      <c r="K3088" s="9"/>
      <c r="L3088" s="9"/>
      <c r="M3088" s="9"/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  <c r="Z3088" s="9"/>
      <c r="AA3088" s="9"/>
    </row>
    <row r="3089">
      <c r="A3089" s="9"/>
      <c r="B3089" s="9"/>
      <c r="C3089" s="9"/>
      <c r="D3089" s="9"/>
      <c r="E3089" s="9"/>
      <c r="F3089" s="9"/>
      <c r="G3089" s="10"/>
      <c r="H3089" s="9"/>
      <c r="I3089" s="15"/>
      <c r="J3089" s="9"/>
      <c r="K3089" s="9"/>
      <c r="L3089" s="9"/>
      <c r="M3089" s="9"/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  <c r="Z3089" s="9"/>
      <c r="AA3089" s="9"/>
    </row>
    <row r="3090">
      <c r="A3090" s="9"/>
      <c r="B3090" s="9"/>
      <c r="C3090" s="9"/>
      <c r="D3090" s="9"/>
      <c r="E3090" s="9"/>
      <c r="F3090" s="9"/>
      <c r="G3090" s="10"/>
      <c r="H3090" s="9"/>
      <c r="I3090" s="15"/>
      <c r="J3090" s="9"/>
      <c r="K3090" s="9"/>
      <c r="L3090" s="9"/>
      <c r="M3090" s="9"/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  <c r="Z3090" s="9"/>
      <c r="AA3090" s="9"/>
    </row>
    <row r="3091">
      <c r="A3091" s="9"/>
      <c r="B3091" s="9"/>
      <c r="C3091" s="9"/>
      <c r="D3091" s="9"/>
      <c r="E3091" s="9"/>
      <c r="F3091" s="9"/>
      <c r="G3091" s="10"/>
      <c r="H3091" s="9"/>
      <c r="I3091" s="15"/>
      <c r="J3091" s="9"/>
      <c r="K3091" s="9"/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  <c r="Z3091" s="9"/>
      <c r="AA3091" s="9"/>
    </row>
    <row r="3092">
      <c r="A3092" s="9"/>
      <c r="B3092" s="9"/>
      <c r="C3092" s="9"/>
      <c r="D3092" s="9"/>
      <c r="E3092" s="9"/>
      <c r="F3092" s="9"/>
      <c r="G3092" s="10"/>
      <c r="H3092" s="9"/>
      <c r="I3092" s="15"/>
      <c r="J3092" s="9"/>
      <c r="K3092" s="9"/>
      <c r="L3092" s="9"/>
      <c r="M3092" s="9"/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  <c r="Z3092" s="9"/>
      <c r="AA3092" s="9"/>
    </row>
    <row r="3093">
      <c r="A3093" s="9"/>
      <c r="B3093" s="9"/>
      <c r="C3093" s="9"/>
      <c r="D3093" s="9"/>
      <c r="E3093" s="9"/>
      <c r="F3093" s="9"/>
      <c r="G3093" s="10"/>
      <c r="H3093" s="9"/>
      <c r="I3093" s="15"/>
      <c r="J3093" s="9"/>
      <c r="K3093" s="9"/>
      <c r="L3093" s="9"/>
      <c r="M3093" s="9"/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  <c r="Z3093" s="9"/>
      <c r="AA3093" s="9"/>
    </row>
    <row r="3094">
      <c r="A3094" s="9"/>
      <c r="B3094" s="9"/>
      <c r="C3094" s="9"/>
      <c r="D3094" s="9"/>
      <c r="E3094" s="9"/>
      <c r="F3094" s="9"/>
      <c r="G3094" s="10"/>
      <c r="H3094" s="9"/>
      <c r="I3094" s="15"/>
      <c r="J3094" s="9"/>
      <c r="K3094" s="9"/>
      <c r="L3094" s="9"/>
      <c r="M3094" s="9"/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/>
      <c r="Z3094" s="9"/>
      <c r="AA3094" s="9"/>
    </row>
    <row r="3095">
      <c r="A3095" s="9"/>
      <c r="B3095" s="9"/>
      <c r="C3095" s="9"/>
      <c r="D3095" s="9"/>
      <c r="E3095" s="9"/>
      <c r="F3095" s="9"/>
      <c r="G3095" s="10"/>
      <c r="H3095" s="9"/>
      <c r="I3095" s="15"/>
      <c r="J3095" s="9"/>
      <c r="K3095" s="9"/>
      <c r="L3095" s="9"/>
      <c r="M3095" s="9"/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/>
      <c r="Z3095" s="9"/>
      <c r="AA3095" s="9"/>
    </row>
    <row r="3096">
      <c r="A3096" s="9"/>
      <c r="B3096" s="9"/>
      <c r="C3096" s="9"/>
      <c r="D3096" s="9"/>
      <c r="E3096" s="9"/>
      <c r="F3096" s="9"/>
      <c r="G3096" s="10"/>
      <c r="H3096" s="9"/>
      <c r="I3096" s="15"/>
      <c r="J3096" s="9"/>
      <c r="K3096" s="9"/>
      <c r="L3096" s="9"/>
      <c r="M3096" s="9"/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/>
      <c r="Z3096" s="9"/>
      <c r="AA3096" s="9"/>
    </row>
    <row r="3097">
      <c r="A3097" s="9"/>
      <c r="B3097" s="9"/>
      <c r="C3097" s="9"/>
      <c r="D3097" s="9"/>
      <c r="E3097" s="9"/>
      <c r="F3097" s="9"/>
      <c r="G3097" s="10"/>
      <c r="H3097" s="9"/>
      <c r="I3097" s="15"/>
      <c r="J3097" s="9"/>
      <c r="K3097" s="9"/>
      <c r="L3097" s="9"/>
      <c r="M3097" s="9"/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/>
      <c r="Z3097" s="9"/>
      <c r="AA3097" s="9"/>
    </row>
    <row r="3098">
      <c r="A3098" s="9"/>
      <c r="B3098" s="9"/>
      <c r="C3098" s="9"/>
      <c r="D3098" s="9"/>
      <c r="E3098" s="9"/>
      <c r="F3098" s="9"/>
      <c r="G3098" s="10"/>
      <c r="H3098" s="9"/>
      <c r="I3098" s="15"/>
      <c r="J3098" s="9"/>
      <c r="K3098" s="9"/>
      <c r="L3098" s="9"/>
      <c r="M3098" s="9"/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/>
      <c r="Z3098" s="9"/>
      <c r="AA3098" s="9"/>
    </row>
    <row r="3099">
      <c r="A3099" s="9"/>
      <c r="B3099" s="9"/>
      <c r="C3099" s="9"/>
      <c r="D3099" s="9"/>
      <c r="E3099" s="9"/>
      <c r="F3099" s="9"/>
      <c r="G3099" s="10"/>
      <c r="H3099" s="9"/>
      <c r="I3099" s="15"/>
      <c r="J3099" s="9"/>
      <c r="K3099" s="9"/>
      <c r="L3099" s="9"/>
      <c r="M3099" s="9"/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/>
      <c r="Z3099" s="9"/>
      <c r="AA3099" s="9"/>
    </row>
    <row r="3100">
      <c r="A3100" s="9"/>
      <c r="B3100" s="9"/>
      <c r="C3100" s="9"/>
      <c r="D3100" s="9"/>
      <c r="E3100" s="9"/>
      <c r="F3100" s="9"/>
      <c r="G3100" s="10"/>
      <c r="H3100" s="9"/>
      <c r="I3100" s="15"/>
      <c r="J3100" s="9"/>
      <c r="K3100" s="9"/>
      <c r="L3100" s="9"/>
      <c r="M3100" s="9"/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/>
      <c r="Z3100" s="9"/>
      <c r="AA3100" s="9"/>
    </row>
    <row r="3101">
      <c r="A3101" s="9"/>
      <c r="B3101" s="9"/>
      <c r="C3101" s="9"/>
      <c r="D3101" s="9"/>
      <c r="E3101" s="9"/>
      <c r="F3101" s="9"/>
      <c r="G3101" s="10"/>
      <c r="H3101" s="9"/>
      <c r="I3101" s="15"/>
      <c r="J3101" s="9"/>
      <c r="K3101" s="9"/>
      <c r="L3101" s="9"/>
      <c r="M3101" s="9"/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/>
      <c r="Z3101" s="9"/>
      <c r="AA3101" s="9"/>
    </row>
    <row r="3102">
      <c r="A3102" s="9"/>
      <c r="B3102" s="9"/>
      <c r="C3102" s="9"/>
      <c r="D3102" s="9"/>
      <c r="E3102" s="9"/>
      <c r="F3102" s="9"/>
      <c r="G3102" s="10"/>
      <c r="H3102" s="9"/>
      <c r="I3102" s="15"/>
      <c r="J3102" s="9"/>
      <c r="K3102" s="9"/>
      <c r="L3102" s="9"/>
      <c r="M3102" s="9"/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/>
      <c r="Z3102" s="9"/>
      <c r="AA3102" s="9"/>
    </row>
    <row r="3103">
      <c r="A3103" s="9"/>
      <c r="B3103" s="9"/>
      <c r="C3103" s="9"/>
      <c r="D3103" s="9"/>
      <c r="E3103" s="9"/>
      <c r="F3103" s="9"/>
      <c r="G3103" s="10"/>
      <c r="H3103" s="9"/>
      <c r="I3103" s="15"/>
      <c r="J3103" s="9"/>
      <c r="K3103" s="9"/>
      <c r="L3103" s="9"/>
      <c r="M3103" s="9"/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/>
      <c r="Z3103" s="9"/>
      <c r="AA3103" s="9"/>
    </row>
    <row r="3104">
      <c r="A3104" s="9"/>
      <c r="B3104" s="9"/>
      <c r="C3104" s="9"/>
      <c r="D3104" s="9"/>
      <c r="E3104" s="9"/>
      <c r="F3104" s="9"/>
      <c r="G3104" s="10"/>
      <c r="H3104" s="9"/>
      <c r="I3104" s="15"/>
      <c r="J3104" s="9"/>
      <c r="K3104" s="9"/>
      <c r="L3104" s="9"/>
      <c r="M3104" s="9"/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/>
      <c r="Z3104" s="9"/>
      <c r="AA3104" s="9"/>
    </row>
    <row r="3105">
      <c r="A3105" s="9"/>
      <c r="B3105" s="9"/>
      <c r="C3105" s="9"/>
      <c r="D3105" s="9"/>
      <c r="E3105" s="9"/>
      <c r="F3105" s="9"/>
      <c r="G3105" s="10"/>
      <c r="H3105" s="9"/>
      <c r="I3105" s="15"/>
      <c r="J3105" s="9"/>
      <c r="K3105" s="9"/>
      <c r="L3105" s="9"/>
      <c r="M3105" s="9"/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/>
      <c r="Z3105" s="9"/>
      <c r="AA3105" s="9"/>
    </row>
    <row r="3106">
      <c r="A3106" s="9"/>
      <c r="B3106" s="9"/>
      <c r="C3106" s="9"/>
      <c r="D3106" s="9"/>
      <c r="E3106" s="9"/>
      <c r="F3106" s="9"/>
      <c r="G3106" s="10"/>
      <c r="H3106" s="9"/>
      <c r="I3106" s="15"/>
      <c r="J3106" s="9"/>
      <c r="K3106" s="9"/>
      <c r="L3106" s="9"/>
      <c r="M3106" s="9"/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/>
      <c r="Z3106" s="9"/>
      <c r="AA3106" s="9"/>
    </row>
    <row r="3107">
      <c r="A3107" s="9"/>
      <c r="B3107" s="9"/>
      <c r="C3107" s="9"/>
      <c r="D3107" s="9"/>
      <c r="E3107" s="9"/>
      <c r="F3107" s="9"/>
      <c r="G3107" s="10"/>
      <c r="H3107" s="9"/>
      <c r="I3107" s="15"/>
      <c r="J3107" s="9"/>
      <c r="K3107" s="9"/>
      <c r="L3107" s="9"/>
      <c r="M3107" s="9"/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/>
      <c r="Z3107" s="9"/>
      <c r="AA3107" s="9"/>
    </row>
    <row r="3108">
      <c r="A3108" s="9"/>
      <c r="B3108" s="9"/>
      <c r="C3108" s="9"/>
      <c r="D3108" s="9"/>
      <c r="E3108" s="9"/>
      <c r="F3108" s="9"/>
      <c r="G3108" s="10"/>
      <c r="H3108" s="9"/>
      <c r="I3108" s="15"/>
      <c r="J3108" s="9"/>
      <c r="K3108" s="9"/>
      <c r="L3108" s="9"/>
      <c r="M3108" s="9"/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/>
      <c r="Z3108" s="9"/>
      <c r="AA3108" s="9"/>
    </row>
    <row r="3109">
      <c r="A3109" s="9"/>
      <c r="B3109" s="9"/>
      <c r="C3109" s="9"/>
      <c r="D3109" s="9"/>
      <c r="E3109" s="9"/>
      <c r="F3109" s="9"/>
      <c r="G3109" s="10"/>
      <c r="H3109" s="9"/>
      <c r="I3109" s="15"/>
      <c r="J3109" s="9"/>
      <c r="K3109" s="9"/>
      <c r="L3109" s="9"/>
      <c r="M3109" s="9"/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/>
      <c r="Z3109" s="9"/>
      <c r="AA3109" s="9"/>
    </row>
    <row r="3110">
      <c r="A3110" s="9"/>
      <c r="B3110" s="9"/>
      <c r="C3110" s="9"/>
      <c r="D3110" s="9"/>
      <c r="E3110" s="9"/>
      <c r="F3110" s="9"/>
      <c r="G3110" s="10"/>
      <c r="H3110" s="9"/>
      <c r="I3110" s="15"/>
      <c r="J3110" s="9"/>
      <c r="K3110" s="9"/>
      <c r="L3110" s="9"/>
      <c r="M3110" s="9"/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/>
      <c r="Z3110" s="9"/>
      <c r="AA3110" s="9"/>
    </row>
    <row r="3111">
      <c r="A3111" s="9"/>
      <c r="B3111" s="9"/>
      <c r="C3111" s="9"/>
      <c r="D3111" s="9"/>
      <c r="E3111" s="9"/>
      <c r="F3111" s="9"/>
      <c r="G3111" s="10"/>
      <c r="H3111" s="9"/>
      <c r="I3111" s="15"/>
      <c r="J3111" s="9"/>
      <c r="K3111" s="9"/>
      <c r="L3111" s="9"/>
      <c r="M3111" s="9"/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/>
      <c r="Z3111" s="9"/>
      <c r="AA3111" s="9"/>
    </row>
    <row r="3112">
      <c r="A3112" s="9"/>
      <c r="B3112" s="9"/>
      <c r="C3112" s="9"/>
      <c r="D3112" s="9"/>
      <c r="E3112" s="9"/>
      <c r="F3112" s="9"/>
      <c r="G3112" s="10"/>
      <c r="H3112" s="9"/>
      <c r="I3112" s="15"/>
      <c r="J3112" s="9"/>
      <c r="K3112" s="9"/>
      <c r="L3112" s="9"/>
      <c r="M3112" s="9"/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/>
      <c r="Z3112" s="9"/>
      <c r="AA3112" s="9"/>
    </row>
    <row r="3113">
      <c r="A3113" s="9"/>
      <c r="B3113" s="9"/>
      <c r="C3113" s="9"/>
      <c r="D3113" s="9"/>
      <c r="E3113" s="9"/>
      <c r="F3113" s="9"/>
      <c r="G3113" s="10"/>
      <c r="H3113" s="9"/>
      <c r="I3113" s="15"/>
      <c r="J3113" s="9"/>
      <c r="K3113" s="9"/>
      <c r="L3113" s="9"/>
      <c r="M3113" s="9"/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/>
      <c r="Z3113" s="9"/>
      <c r="AA3113" s="9"/>
    </row>
    <row r="3114">
      <c r="A3114" s="9"/>
      <c r="B3114" s="9"/>
      <c r="C3114" s="9"/>
      <c r="D3114" s="9"/>
      <c r="E3114" s="9"/>
      <c r="F3114" s="9"/>
      <c r="G3114" s="10"/>
      <c r="H3114" s="9"/>
      <c r="I3114" s="15"/>
      <c r="J3114" s="9"/>
      <c r="K3114" s="9"/>
      <c r="L3114" s="9"/>
      <c r="M3114" s="9"/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/>
      <c r="Z3114" s="9"/>
      <c r="AA3114" s="9"/>
    </row>
    <row r="3115">
      <c r="A3115" s="9"/>
      <c r="B3115" s="9"/>
      <c r="C3115" s="9"/>
      <c r="D3115" s="9"/>
      <c r="E3115" s="9"/>
      <c r="F3115" s="9"/>
      <c r="G3115" s="10"/>
      <c r="H3115" s="9"/>
      <c r="I3115" s="15"/>
      <c r="J3115" s="9"/>
      <c r="K3115" s="9"/>
      <c r="L3115" s="9"/>
      <c r="M3115" s="9"/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/>
      <c r="Z3115" s="9"/>
      <c r="AA3115" s="9"/>
    </row>
    <row r="3116">
      <c r="A3116" s="9"/>
      <c r="B3116" s="9"/>
      <c r="C3116" s="9"/>
      <c r="D3116" s="9"/>
      <c r="E3116" s="9"/>
      <c r="F3116" s="9"/>
      <c r="G3116" s="10"/>
      <c r="H3116" s="9"/>
      <c r="I3116" s="15"/>
      <c r="J3116" s="9"/>
      <c r="K3116" s="9"/>
      <c r="L3116" s="9"/>
      <c r="M3116" s="9"/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/>
      <c r="Z3116" s="9"/>
      <c r="AA3116" s="9"/>
    </row>
    <row r="3117">
      <c r="A3117" s="9"/>
      <c r="B3117" s="9"/>
      <c r="C3117" s="9"/>
      <c r="D3117" s="9"/>
      <c r="E3117" s="9"/>
      <c r="F3117" s="9"/>
      <c r="G3117" s="10"/>
      <c r="H3117" s="9"/>
      <c r="I3117" s="15"/>
      <c r="J3117" s="9"/>
      <c r="K3117" s="9"/>
      <c r="L3117" s="9"/>
      <c r="M3117" s="9"/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/>
      <c r="Z3117" s="9"/>
      <c r="AA3117" s="9"/>
    </row>
    <row r="3118">
      <c r="A3118" s="9"/>
      <c r="B3118" s="9"/>
      <c r="C3118" s="9"/>
      <c r="D3118" s="9"/>
      <c r="E3118" s="9"/>
      <c r="F3118" s="9"/>
      <c r="G3118" s="10"/>
      <c r="H3118" s="9"/>
      <c r="I3118" s="15"/>
      <c r="J3118" s="9"/>
      <c r="K3118" s="9"/>
      <c r="L3118" s="9"/>
      <c r="M3118" s="9"/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/>
      <c r="Z3118" s="9"/>
      <c r="AA3118" s="9"/>
    </row>
    <row r="3119">
      <c r="A3119" s="9"/>
      <c r="B3119" s="9"/>
      <c r="C3119" s="9"/>
      <c r="D3119" s="9"/>
      <c r="E3119" s="9"/>
      <c r="F3119" s="9"/>
      <c r="G3119" s="10"/>
      <c r="H3119" s="9"/>
      <c r="I3119" s="15"/>
      <c r="J3119" s="9"/>
      <c r="K3119" s="9"/>
      <c r="L3119" s="9"/>
      <c r="M3119" s="9"/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/>
      <c r="Z3119" s="9"/>
      <c r="AA3119" s="9"/>
    </row>
    <row r="3120">
      <c r="A3120" s="9"/>
      <c r="B3120" s="9"/>
      <c r="C3120" s="9"/>
      <c r="D3120" s="9"/>
      <c r="E3120" s="9"/>
      <c r="F3120" s="9"/>
      <c r="G3120" s="10"/>
      <c r="H3120" s="9"/>
      <c r="I3120" s="15"/>
      <c r="J3120" s="9"/>
      <c r="K3120" s="9"/>
      <c r="L3120" s="9"/>
      <c r="M3120" s="9"/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/>
      <c r="Z3120" s="9"/>
      <c r="AA3120" s="9"/>
    </row>
    <row r="3121">
      <c r="A3121" s="9"/>
      <c r="B3121" s="9"/>
      <c r="C3121" s="9"/>
      <c r="D3121" s="9"/>
      <c r="E3121" s="9"/>
      <c r="F3121" s="9"/>
      <c r="G3121" s="10"/>
      <c r="H3121" s="9"/>
      <c r="I3121" s="15"/>
      <c r="J3121" s="9"/>
      <c r="K3121" s="9"/>
      <c r="L3121" s="9"/>
      <c r="M3121" s="9"/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/>
      <c r="Z3121" s="9"/>
      <c r="AA3121" s="9"/>
    </row>
    <row r="3122">
      <c r="A3122" s="9"/>
      <c r="B3122" s="9"/>
      <c r="C3122" s="9"/>
      <c r="D3122" s="9"/>
      <c r="E3122" s="9"/>
      <c r="F3122" s="9"/>
      <c r="G3122" s="10"/>
      <c r="H3122" s="9"/>
      <c r="I3122" s="15"/>
      <c r="J3122" s="9"/>
      <c r="K3122" s="9"/>
      <c r="L3122" s="9"/>
      <c r="M3122" s="9"/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/>
      <c r="Z3122" s="9"/>
      <c r="AA3122" s="9"/>
    </row>
    <row r="3123">
      <c r="A3123" s="9"/>
      <c r="B3123" s="9"/>
      <c r="C3123" s="9"/>
      <c r="D3123" s="9"/>
      <c r="E3123" s="9"/>
      <c r="F3123" s="9"/>
      <c r="G3123" s="10"/>
      <c r="H3123" s="9"/>
      <c r="I3123" s="15"/>
      <c r="J3123" s="9"/>
      <c r="K3123" s="9"/>
      <c r="L3123" s="9"/>
      <c r="M3123" s="9"/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/>
      <c r="Z3123" s="9"/>
      <c r="AA3123" s="9"/>
    </row>
    <row r="3124">
      <c r="A3124" s="9"/>
      <c r="B3124" s="9"/>
      <c r="C3124" s="9"/>
      <c r="D3124" s="9"/>
      <c r="E3124" s="9"/>
      <c r="F3124" s="9"/>
      <c r="G3124" s="10"/>
      <c r="H3124" s="9"/>
      <c r="I3124" s="15"/>
      <c r="J3124" s="9"/>
      <c r="K3124" s="9"/>
      <c r="L3124" s="9"/>
      <c r="M3124" s="9"/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/>
      <c r="Z3124" s="9"/>
      <c r="AA3124" s="9"/>
    </row>
    <row r="3125">
      <c r="A3125" s="9"/>
      <c r="B3125" s="9"/>
      <c r="C3125" s="9"/>
      <c r="D3125" s="9"/>
      <c r="E3125" s="9"/>
      <c r="F3125" s="9"/>
      <c r="G3125" s="10"/>
      <c r="H3125" s="9"/>
      <c r="I3125" s="15"/>
      <c r="J3125" s="9"/>
      <c r="K3125" s="9"/>
      <c r="L3125" s="9"/>
      <c r="M3125" s="9"/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/>
      <c r="Z3125" s="9"/>
      <c r="AA3125" s="9"/>
    </row>
    <row r="3126">
      <c r="A3126" s="9"/>
      <c r="B3126" s="9"/>
      <c r="C3126" s="9"/>
      <c r="D3126" s="9"/>
      <c r="E3126" s="9"/>
      <c r="F3126" s="9"/>
      <c r="G3126" s="10"/>
      <c r="H3126" s="9"/>
      <c r="I3126" s="15"/>
      <c r="J3126" s="9"/>
      <c r="K3126" s="9"/>
      <c r="L3126" s="9"/>
      <c r="M3126" s="9"/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/>
      <c r="Z3126" s="9"/>
      <c r="AA3126" s="9"/>
    </row>
    <row r="3127">
      <c r="A3127" s="9"/>
      <c r="B3127" s="9"/>
      <c r="C3127" s="9"/>
      <c r="D3127" s="9"/>
      <c r="E3127" s="9"/>
      <c r="F3127" s="9"/>
      <c r="G3127" s="10"/>
      <c r="H3127" s="9"/>
      <c r="I3127" s="15"/>
      <c r="J3127" s="9"/>
      <c r="K3127" s="9"/>
      <c r="L3127" s="9"/>
      <c r="M3127" s="9"/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/>
      <c r="Z3127" s="9"/>
      <c r="AA3127" s="9"/>
    </row>
    <row r="3128">
      <c r="A3128" s="9"/>
      <c r="B3128" s="9"/>
      <c r="C3128" s="9"/>
      <c r="D3128" s="9"/>
      <c r="E3128" s="9"/>
      <c r="F3128" s="9"/>
      <c r="G3128" s="10"/>
      <c r="H3128" s="9"/>
      <c r="I3128" s="15"/>
      <c r="J3128" s="9"/>
      <c r="K3128" s="9"/>
      <c r="L3128" s="9"/>
      <c r="M3128" s="9"/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/>
      <c r="Z3128" s="9"/>
      <c r="AA3128" s="9"/>
    </row>
    <row r="3129">
      <c r="A3129" s="9"/>
      <c r="B3129" s="9"/>
      <c r="C3129" s="9"/>
      <c r="D3129" s="9"/>
      <c r="E3129" s="9"/>
      <c r="F3129" s="9"/>
      <c r="G3129" s="10"/>
      <c r="H3129" s="9"/>
      <c r="I3129" s="15"/>
      <c r="J3129" s="9"/>
      <c r="K3129" s="9"/>
      <c r="L3129" s="9"/>
      <c r="M3129" s="9"/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/>
      <c r="Z3129" s="9"/>
      <c r="AA3129" s="9"/>
    </row>
    <row r="3130">
      <c r="A3130" s="9"/>
      <c r="B3130" s="9"/>
      <c r="C3130" s="9"/>
      <c r="D3130" s="9"/>
      <c r="E3130" s="9"/>
      <c r="F3130" s="9"/>
      <c r="G3130" s="10"/>
      <c r="H3130" s="9"/>
      <c r="I3130" s="15"/>
      <c r="J3130" s="9"/>
      <c r="K3130" s="9"/>
      <c r="L3130" s="9"/>
      <c r="M3130" s="9"/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/>
      <c r="Z3130" s="9"/>
      <c r="AA3130" s="9"/>
    </row>
    <row r="3131">
      <c r="A3131" s="9"/>
      <c r="B3131" s="9"/>
      <c r="C3131" s="9"/>
      <c r="D3131" s="9"/>
      <c r="E3131" s="9"/>
      <c r="F3131" s="9"/>
      <c r="G3131" s="10"/>
      <c r="H3131" s="9"/>
      <c r="I3131" s="15"/>
      <c r="J3131" s="9"/>
      <c r="K3131" s="9"/>
      <c r="L3131" s="9"/>
      <c r="M3131" s="9"/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/>
      <c r="Z3131" s="9"/>
      <c r="AA3131" s="9"/>
    </row>
    <row r="3132">
      <c r="A3132" s="9"/>
      <c r="B3132" s="9"/>
      <c r="C3132" s="9"/>
      <c r="D3132" s="9"/>
      <c r="E3132" s="9"/>
      <c r="F3132" s="9"/>
      <c r="G3132" s="10"/>
      <c r="H3132" s="9"/>
      <c r="I3132" s="15"/>
      <c r="J3132" s="9"/>
      <c r="K3132" s="9"/>
      <c r="L3132" s="9"/>
      <c r="M3132" s="9"/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/>
      <c r="Z3132" s="9"/>
      <c r="AA3132" s="9"/>
    </row>
    <row r="3133">
      <c r="A3133" s="9"/>
      <c r="B3133" s="9"/>
      <c r="C3133" s="9"/>
      <c r="D3133" s="9"/>
      <c r="E3133" s="9"/>
      <c r="F3133" s="9"/>
      <c r="G3133" s="10"/>
      <c r="H3133" s="9"/>
      <c r="I3133" s="15"/>
      <c r="J3133" s="9"/>
      <c r="K3133" s="9"/>
      <c r="L3133" s="9"/>
      <c r="M3133" s="9"/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/>
      <c r="Z3133" s="9"/>
      <c r="AA3133" s="9"/>
    </row>
    <row r="3134">
      <c r="A3134" s="9"/>
      <c r="B3134" s="9"/>
      <c r="C3134" s="9"/>
      <c r="D3134" s="9"/>
      <c r="E3134" s="9"/>
      <c r="F3134" s="9"/>
      <c r="G3134" s="10"/>
      <c r="H3134" s="9"/>
      <c r="I3134" s="15"/>
      <c r="J3134" s="9"/>
      <c r="K3134" s="9"/>
      <c r="L3134" s="9"/>
      <c r="M3134" s="9"/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/>
      <c r="Z3134" s="9"/>
      <c r="AA3134" s="9"/>
    </row>
    <row r="3135">
      <c r="A3135" s="9"/>
      <c r="B3135" s="9"/>
      <c r="C3135" s="9"/>
      <c r="D3135" s="9"/>
      <c r="E3135" s="9"/>
      <c r="F3135" s="9"/>
      <c r="G3135" s="10"/>
      <c r="H3135" s="9"/>
      <c r="I3135" s="15"/>
      <c r="J3135" s="9"/>
      <c r="K3135" s="9"/>
      <c r="L3135" s="9"/>
      <c r="M3135" s="9"/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/>
      <c r="Z3135" s="9"/>
      <c r="AA3135" s="9"/>
    </row>
    <row r="3136">
      <c r="A3136" s="9"/>
      <c r="B3136" s="9"/>
      <c r="C3136" s="9"/>
      <c r="D3136" s="9"/>
      <c r="E3136" s="9"/>
      <c r="F3136" s="9"/>
      <c r="G3136" s="10"/>
      <c r="H3136" s="9"/>
      <c r="I3136" s="15"/>
      <c r="J3136" s="9"/>
      <c r="K3136" s="9"/>
      <c r="L3136" s="9"/>
      <c r="M3136" s="9"/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/>
      <c r="Z3136" s="9"/>
      <c r="AA3136" s="9"/>
    </row>
    <row r="3137">
      <c r="A3137" s="9"/>
      <c r="B3137" s="9"/>
      <c r="C3137" s="9"/>
      <c r="D3137" s="9"/>
      <c r="E3137" s="9"/>
      <c r="F3137" s="9"/>
      <c r="G3137" s="10"/>
      <c r="H3137" s="9"/>
      <c r="I3137" s="15"/>
      <c r="J3137" s="9"/>
      <c r="K3137" s="9"/>
      <c r="L3137" s="9"/>
      <c r="M3137" s="9"/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/>
      <c r="Z3137" s="9"/>
      <c r="AA3137" s="9"/>
    </row>
    <row r="3138">
      <c r="A3138" s="9"/>
      <c r="B3138" s="9"/>
      <c r="C3138" s="9"/>
      <c r="D3138" s="9"/>
      <c r="E3138" s="9"/>
      <c r="F3138" s="9"/>
      <c r="G3138" s="10"/>
      <c r="H3138" s="9"/>
      <c r="I3138" s="15"/>
      <c r="J3138" s="9"/>
      <c r="K3138" s="9"/>
      <c r="L3138" s="9"/>
      <c r="M3138" s="9"/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/>
      <c r="Z3138" s="9"/>
      <c r="AA3138" s="9"/>
    </row>
    <row r="3139">
      <c r="A3139" s="9"/>
      <c r="B3139" s="9"/>
      <c r="C3139" s="9"/>
      <c r="D3139" s="9"/>
      <c r="E3139" s="9"/>
      <c r="F3139" s="9"/>
      <c r="G3139" s="10"/>
      <c r="H3139" s="9"/>
      <c r="I3139" s="15"/>
      <c r="J3139" s="9"/>
      <c r="K3139" s="9"/>
      <c r="L3139" s="9"/>
      <c r="M3139" s="9"/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/>
      <c r="Z3139" s="9"/>
      <c r="AA3139" s="9"/>
    </row>
    <row r="3140">
      <c r="A3140" s="9"/>
      <c r="B3140" s="9"/>
      <c r="C3140" s="9"/>
      <c r="D3140" s="9"/>
      <c r="E3140" s="9"/>
      <c r="F3140" s="9"/>
      <c r="G3140" s="10"/>
      <c r="H3140" s="9"/>
      <c r="I3140" s="15"/>
      <c r="J3140" s="9"/>
      <c r="K3140" s="9"/>
      <c r="L3140" s="9"/>
      <c r="M3140" s="9"/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/>
      <c r="Z3140" s="9"/>
      <c r="AA3140" s="9"/>
    </row>
    <row r="3141">
      <c r="A3141" s="9"/>
      <c r="B3141" s="9"/>
      <c r="C3141" s="9"/>
      <c r="D3141" s="9"/>
      <c r="E3141" s="9"/>
      <c r="F3141" s="9"/>
      <c r="G3141" s="10"/>
      <c r="H3141" s="9"/>
      <c r="I3141" s="15"/>
      <c r="J3141" s="9"/>
      <c r="K3141" s="9"/>
      <c r="L3141" s="9"/>
      <c r="M3141" s="9"/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/>
      <c r="Z3141" s="9"/>
      <c r="AA3141" s="9"/>
    </row>
    <row r="3142">
      <c r="A3142" s="9"/>
      <c r="B3142" s="9"/>
      <c r="C3142" s="9"/>
      <c r="D3142" s="9"/>
      <c r="E3142" s="9"/>
      <c r="F3142" s="9"/>
      <c r="G3142" s="10"/>
      <c r="H3142" s="9"/>
      <c r="I3142" s="15"/>
      <c r="J3142" s="9"/>
      <c r="K3142" s="9"/>
      <c r="L3142" s="9"/>
      <c r="M3142" s="9"/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/>
      <c r="Z3142" s="9"/>
      <c r="AA3142" s="9"/>
    </row>
    <row r="3143">
      <c r="A3143" s="9"/>
      <c r="B3143" s="9"/>
      <c r="C3143" s="9"/>
      <c r="D3143" s="9"/>
      <c r="E3143" s="9"/>
      <c r="F3143" s="9"/>
      <c r="G3143" s="10"/>
      <c r="H3143" s="9"/>
      <c r="I3143" s="15"/>
      <c r="J3143" s="9"/>
      <c r="K3143" s="9"/>
      <c r="L3143" s="9"/>
      <c r="M3143" s="9"/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/>
      <c r="Z3143" s="9"/>
      <c r="AA3143" s="9"/>
    </row>
    <row r="3144">
      <c r="A3144" s="9"/>
      <c r="B3144" s="9"/>
      <c r="C3144" s="9"/>
      <c r="D3144" s="9"/>
      <c r="E3144" s="9"/>
      <c r="F3144" s="9"/>
      <c r="G3144" s="10"/>
      <c r="H3144" s="9"/>
      <c r="I3144" s="15"/>
      <c r="J3144" s="9"/>
      <c r="K3144" s="9"/>
      <c r="L3144" s="9"/>
      <c r="M3144" s="9"/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/>
      <c r="Z3144" s="9"/>
      <c r="AA3144" s="9"/>
    </row>
    <row r="3145">
      <c r="A3145" s="9"/>
      <c r="B3145" s="9"/>
      <c r="C3145" s="9"/>
      <c r="D3145" s="9"/>
      <c r="E3145" s="9"/>
      <c r="F3145" s="9"/>
      <c r="G3145" s="10"/>
      <c r="H3145" s="9"/>
      <c r="I3145" s="15"/>
      <c r="J3145" s="9"/>
      <c r="K3145" s="9"/>
      <c r="L3145" s="9"/>
      <c r="M3145" s="9"/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/>
      <c r="Z3145" s="9"/>
      <c r="AA3145" s="9"/>
    </row>
    <row r="3146">
      <c r="A3146" s="9"/>
      <c r="B3146" s="9"/>
      <c r="C3146" s="9"/>
      <c r="D3146" s="9"/>
      <c r="E3146" s="9"/>
      <c r="F3146" s="9"/>
      <c r="G3146" s="10"/>
      <c r="H3146" s="9"/>
      <c r="I3146" s="15"/>
      <c r="J3146" s="9"/>
      <c r="K3146" s="9"/>
      <c r="L3146" s="9"/>
      <c r="M3146" s="9"/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/>
      <c r="Z3146" s="9"/>
      <c r="AA3146" s="9"/>
    </row>
    <row r="3147">
      <c r="A3147" s="9"/>
      <c r="B3147" s="9"/>
      <c r="C3147" s="9"/>
      <c r="D3147" s="9"/>
      <c r="E3147" s="9"/>
      <c r="F3147" s="9"/>
      <c r="G3147" s="10"/>
      <c r="H3147" s="9"/>
      <c r="I3147" s="15"/>
      <c r="J3147" s="9"/>
      <c r="K3147" s="9"/>
      <c r="L3147" s="9"/>
      <c r="M3147" s="9"/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/>
      <c r="Z3147" s="9"/>
      <c r="AA3147" s="9"/>
    </row>
    <row r="3148">
      <c r="A3148" s="9"/>
      <c r="B3148" s="9"/>
      <c r="C3148" s="9"/>
      <c r="D3148" s="9"/>
      <c r="E3148" s="9"/>
      <c r="F3148" s="9"/>
      <c r="G3148" s="10"/>
      <c r="H3148" s="9"/>
      <c r="I3148" s="15"/>
      <c r="J3148" s="9"/>
      <c r="K3148" s="9"/>
      <c r="L3148" s="9"/>
      <c r="M3148" s="9"/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/>
      <c r="Z3148" s="9"/>
      <c r="AA3148" s="9"/>
    </row>
    <row r="3149">
      <c r="A3149" s="9"/>
      <c r="B3149" s="9"/>
      <c r="C3149" s="9"/>
      <c r="D3149" s="9"/>
      <c r="E3149" s="9"/>
      <c r="F3149" s="9"/>
      <c r="G3149" s="10"/>
      <c r="H3149" s="9"/>
      <c r="I3149" s="15"/>
      <c r="J3149" s="9"/>
      <c r="K3149" s="9"/>
      <c r="L3149" s="9"/>
      <c r="M3149" s="9"/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/>
      <c r="Z3149" s="9"/>
      <c r="AA3149" s="9"/>
    </row>
    <row r="3150">
      <c r="A3150" s="9"/>
      <c r="B3150" s="9"/>
      <c r="C3150" s="9"/>
      <c r="D3150" s="9"/>
      <c r="E3150" s="9"/>
      <c r="F3150" s="9"/>
      <c r="G3150" s="10"/>
      <c r="H3150" s="9"/>
      <c r="I3150" s="15"/>
      <c r="J3150" s="9"/>
      <c r="K3150" s="9"/>
      <c r="L3150" s="9"/>
      <c r="M3150" s="9"/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/>
      <c r="Z3150" s="9"/>
      <c r="AA3150" s="9"/>
    </row>
    <row r="3151">
      <c r="A3151" s="9"/>
      <c r="B3151" s="9"/>
      <c r="C3151" s="9"/>
      <c r="D3151" s="9"/>
      <c r="E3151" s="9"/>
      <c r="F3151" s="9"/>
      <c r="G3151" s="10"/>
      <c r="H3151" s="9"/>
      <c r="I3151" s="15"/>
      <c r="J3151" s="9"/>
      <c r="K3151" s="9"/>
      <c r="L3151" s="9"/>
      <c r="M3151" s="9"/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/>
      <c r="Z3151" s="9"/>
      <c r="AA3151" s="9"/>
    </row>
    <row r="3152">
      <c r="A3152" s="9"/>
      <c r="B3152" s="9"/>
      <c r="C3152" s="9"/>
      <c r="D3152" s="9"/>
      <c r="E3152" s="9"/>
      <c r="F3152" s="9"/>
      <c r="G3152" s="10"/>
      <c r="H3152" s="9"/>
      <c r="I3152" s="15"/>
      <c r="J3152" s="9"/>
      <c r="K3152" s="9"/>
      <c r="L3152" s="9"/>
      <c r="M3152" s="9"/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/>
      <c r="Z3152" s="9"/>
      <c r="AA3152" s="9"/>
    </row>
    <row r="3153">
      <c r="A3153" s="9"/>
      <c r="B3153" s="9"/>
      <c r="C3153" s="9"/>
      <c r="D3153" s="9"/>
      <c r="E3153" s="9"/>
      <c r="F3153" s="9"/>
      <c r="G3153" s="10"/>
      <c r="H3153" s="9"/>
      <c r="I3153" s="15"/>
      <c r="J3153" s="9"/>
      <c r="K3153" s="9"/>
      <c r="L3153" s="9"/>
      <c r="M3153" s="9"/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/>
      <c r="Z3153" s="9"/>
      <c r="AA3153" s="9"/>
    </row>
    <row r="3154">
      <c r="A3154" s="9"/>
      <c r="B3154" s="9"/>
      <c r="C3154" s="9"/>
      <c r="D3154" s="9"/>
      <c r="E3154" s="9"/>
      <c r="F3154" s="9"/>
      <c r="G3154" s="10"/>
      <c r="H3154" s="9"/>
      <c r="I3154" s="15"/>
      <c r="J3154" s="9"/>
      <c r="K3154" s="9"/>
      <c r="L3154" s="9"/>
      <c r="M3154" s="9"/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/>
      <c r="Z3154" s="9"/>
      <c r="AA3154" s="9"/>
    </row>
    <row r="3155">
      <c r="A3155" s="9"/>
      <c r="B3155" s="9"/>
      <c r="C3155" s="9"/>
      <c r="D3155" s="9"/>
      <c r="E3155" s="9"/>
      <c r="F3155" s="9"/>
      <c r="G3155" s="10"/>
      <c r="H3155" s="9"/>
      <c r="I3155" s="15"/>
      <c r="J3155" s="9"/>
      <c r="K3155" s="9"/>
      <c r="L3155" s="9"/>
      <c r="M3155" s="9"/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/>
      <c r="Z3155" s="9"/>
      <c r="AA3155" s="9"/>
    </row>
    <row r="3156">
      <c r="A3156" s="9"/>
      <c r="B3156" s="9"/>
      <c r="C3156" s="9"/>
      <c r="D3156" s="9"/>
      <c r="E3156" s="9"/>
      <c r="F3156" s="9"/>
      <c r="G3156" s="10"/>
      <c r="H3156" s="9"/>
      <c r="I3156" s="15"/>
      <c r="J3156" s="9"/>
      <c r="K3156" s="9"/>
      <c r="L3156" s="9"/>
      <c r="M3156" s="9"/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/>
      <c r="Z3156" s="9"/>
      <c r="AA3156" s="9"/>
    </row>
    <row r="3157">
      <c r="A3157" s="9"/>
      <c r="B3157" s="9"/>
      <c r="C3157" s="9"/>
      <c r="D3157" s="9"/>
      <c r="E3157" s="9"/>
      <c r="F3157" s="9"/>
      <c r="G3157" s="10"/>
      <c r="H3157" s="9"/>
      <c r="I3157" s="15"/>
      <c r="J3157" s="9"/>
      <c r="K3157" s="9"/>
      <c r="L3157" s="9"/>
      <c r="M3157" s="9"/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/>
      <c r="Z3157" s="9"/>
      <c r="AA3157" s="9"/>
    </row>
    <row r="3158">
      <c r="A3158" s="9"/>
      <c r="B3158" s="9"/>
      <c r="C3158" s="9"/>
      <c r="D3158" s="9"/>
      <c r="E3158" s="9"/>
      <c r="F3158" s="9"/>
      <c r="G3158" s="10"/>
      <c r="H3158" s="9"/>
      <c r="I3158" s="15"/>
      <c r="J3158" s="9"/>
      <c r="K3158" s="9"/>
      <c r="L3158" s="9"/>
      <c r="M3158" s="9"/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/>
      <c r="Z3158" s="9"/>
      <c r="AA3158" s="9"/>
    </row>
    <row r="3159">
      <c r="A3159" s="9"/>
      <c r="B3159" s="9"/>
      <c r="C3159" s="9"/>
      <c r="D3159" s="9"/>
      <c r="E3159" s="9"/>
      <c r="F3159" s="9"/>
      <c r="G3159" s="10"/>
      <c r="H3159" s="9"/>
      <c r="I3159" s="15"/>
      <c r="J3159" s="9"/>
      <c r="K3159" s="9"/>
      <c r="L3159" s="9"/>
      <c r="M3159" s="9"/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/>
      <c r="Z3159" s="9"/>
      <c r="AA3159" s="9"/>
    </row>
    <row r="3160">
      <c r="A3160" s="9"/>
      <c r="B3160" s="9"/>
      <c r="C3160" s="9"/>
      <c r="D3160" s="9"/>
      <c r="E3160" s="9"/>
      <c r="F3160" s="9"/>
      <c r="G3160" s="10"/>
      <c r="H3160" s="9"/>
      <c r="I3160" s="15"/>
      <c r="J3160" s="9"/>
      <c r="K3160" s="9"/>
      <c r="L3160" s="9"/>
      <c r="M3160" s="9"/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/>
      <c r="Z3160" s="9"/>
      <c r="AA3160" s="9"/>
    </row>
    <row r="3161">
      <c r="A3161" s="9"/>
      <c r="B3161" s="9"/>
      <c r="C3161" s="9"/>
      <c r="D3161" s="9"/>
      <c r="E3161" s="9"/>
      <c r="F3161" s="9"/>
      <c r="G3161" s="10"/>
      <c r="H3161" s="9"/>
      <c r="I3161" s="15"/>
      <c r="J3161" s="9"/>
      <c r="K3161" s="9"/>
      <c r="L3161" s="9"/>
      <c r="M3161" s="9"/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/>
      <c r="Z3161" s="9"/>
      <c r="AA3161" s="9"/>
    </row>
    <row r="3162">
      <c r="A3162" s="9"/>
      <c r="B3162" s="9"/>
      <c r="C3162" s="9"/>
      <c r="D3162" s="9"/>
      <c r="E3162" s="9"/>
      <c r="F3162" s="9"/>
      <c r="G3162" s="10"/>
      <c r="H3162" s="9"/>
      <c r="I3162" s="15"/>
      <c r="J3162" s="9"/>
      <c r="K3162" s="9"/>
      <c r="L3162" s="9"/>
      <c r="M3162" s="9"/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/>
      <c r="Z3162" s="9"/>
      <c r="AA3162" s="9"/>
    </row>
    <row r="3163">
      <c r="A3163" s="9"/>
      <c r="B3163" s="9"/>
      <c r="C3163" s="9"/>
      <c r="D3163" s="9"/>
      <c r="E3163" s="9"/>
      <c r="F3163" s="9"/>
      <c r="G3163" s="10"/>
      <c r="H3163" s="9"/>
      <c r="I3163" s="15"/>
      <c r="J3163" s="9"/>
      <c r="K3163" s="9"/>
      <c r="L3163" s="9"/>
      <c r="M3163" s="9"/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/>
      <c r="Z3163" s="9"/>
      <c r="AA3163" s="9"/>
    </row>
    <row r="3164">
      <c r="A3164" s="9"/>
      <c r="B3164" s="9"/>
      <c r="C3164" s="9"/>
      <c r="D3164" s="9"/>
      <c r="E3164" s="9"/>
      <c r="F3164" s="9"/>
      <c r="G3164" s="10"/>
      <c r="H3164" s="9"/>
      <c r="I3164" s="15"/>
      <c r="J3164" s="9"/>
      <c r="K3164" s="9"/>
      <c r="L3164" s="9"/>
      <c r="M3164" s="9"/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/>
      <c r="Z3164" s="9"/>
      <c r="AA3164" s="9"/>
    </row>
    <row r="3165">
      <c r="A3165" s="9"/>
      <c r="B3165" s="9"/>
      <c r="C3165" s="9"/>
      <c r="D3165" s="9"/>
      <c r="E3165" s="9"/>
      <c r="F3165" s="9"/>
      <c r="G3165" s="10"/>
      <c r="H3165" s="9"/>
      <c r="I3165" s="15"/>
      <c r="J3165" s="9"/>
      <c r="K3165" s="9"/>
      <c r="L3165" s="9"/>
      <c r="M3165" s="9"/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/>
      <c r="Z3165" s="9"/>
      <c r="AA3165" s="9"/>
    </row>
    <row r="3166">
      <c r="A3166" s="9"/>
      <c r="B3166" s="9"/>
      <c r="C3166" s="9"/>
      <c r="D3166" s="9"/>
      <c r="E3166" s="9"/>
      <c r="F3166" s="9"/>
      <c r="G3166" s="10"/>
      <c r="H3166" s="9"/>
      <c r="I3166" s="15"/>
      <c r="J3166" s="9"/>
      <c r="K3166" s="9"/>
      <c r="L3166" s="9"/>
      <c r="M3166" s="9"/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/>
      <c r="Z3166" s="9"/>
      <c r="AA3166" s="9"/>
    </row>
    <row r="3167">
      <c r="A3167" s="9"/>
      <c r="B3167" s="9"/>
      <c r="C3167" s="9"/>
      <c r="D3167" s="9"/>
      <c r="E3167" s="9"/>
      <c r="F3167" s="9"/>
      <c r="G3167" s="10"/>
      <c r="H3167" s="9"/>
      <c r="I3167" s="15"/>
      <c r="J3167" s="9"/>
      <c r="K3167" s="9"/>
      <c r="L3167" s="9"/>
      <c r="M3167" s="9"/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/>
      <c r="Z3167" s="9"/>
      <c r="AA3167" s="9"/>
    </row>
    <row r="3168">
      <c r="A3168" s="9"/>
      <c r="B3168" s="9"/>
      <c r="C3168" s="9"/>
      <c r="D3168" s="9"/>
      <c r="E3168" s="9"/>
      <c r="F3168" s="9"/>
      <c r="G3168" s="10"/>
      <c r="H3168" s="9"/>
      <c r="I3168" s="15"/>
      <c r="J3168" s="9"/>
      <c r="K3168" s="9"/>
      <c r="L3168" s="9"/>
      <c r="M3168" s="9"/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/>
      <c r="Z3168" s="9"/>
      <c r="AA3168" s="9"/>
    </row>
    <row r="3169">
      <c r="A3169" s="9"/>
      <c r="B3169" s="9"/>
      <c r="C3169" s="9"/>
      <c r="D3169" s="9"/>
      <c r="E3169" s="9"/>
      <c r="F3169" s="9"/>
      <c r="G3169" s="10"/>
      <c r="H3169" s="9"/>
      <c r="I3169" s="15"/>
      <c r="J3169" s="9"/>
      <c r="K3169" s="9"/>
      <c r="L3169" s="9"/>
      <c r="M3169" s="9"/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/>
      <c r="Z3169" s="9"/>
      <c r="AA3169" s="9"/>
    </row>
    <row r="3170">
      <c r="A3170" s="9"/>
      <c r="B3170" s="9"/>
      <c r="C3170" s="9"/>
      <c r="D3170" s="9"/>
      <c r="E3170" s="9"/>
      <c r="F3170" s="9"/>
      <c r="G3170" s="10"/>
      <c r="H3170" s="9"/>
      <c r="I3170" s="15"/>
      <c r="J3170" s="9"/>
      <c r="K3170" s="9"/>
      <c r="L3170" s="9"/>
      <c r="M3170" s="9"/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/>
      <c r="Z3170" s="9"/>
      <c r="AA3170" s="9"/>
    </row>
    <row r="3171">
      <c r="A3171" s="9"/>
      <c r="B3171" s="9"/>
      <c r="C3171" s="9"/>
      <c r="D3171" s="9"/>
      <c r="E3171" s="9"/>
      <c r="F3171" s="9"/>
      <c r="G3171" s="10"/>
      <c r="H3171" s="9"/>
      <c r="I3171" s="15"/>
      <c r="J3171" s="9"/>
      <c r="K3171" s="9"/>
      <c r="L3171" s="9"/>
      <c r="M3171" s="9"/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/>
      <c r="Z3171" s="9"/>
      <c r="AA3171" s="9"/>
    </row>
    <row r="3172">
      <c r="A3172" s="9"/>
      <c r="B3172" s="9"/>
      <c r="C3172" s="9"/>
      <c r="D3172" s="9"/>
      <c r="E3172" s="9"/>
      <c r="F3172" s="9"/>
      <c r="G3172" s="10"/>
      <c r="H3172" s="9"/>
      <c r="I3172" s="15"/>
      <c r="J3172" s="9"/>
      <c r="K3172" s="9"/>
      <c r="L3172" s="9"/>
      <c r="M3172" s="9"/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/>
      <c r="Z3172" s="9"/>
      <c r="AA3172" s="9"/>
    </row>
    <row r="3173">
      <c r="A3173" s="9"/>
      <c r="B3173" s="9"/>
      <c r="C3173" s="9"/>
      <c r="D3173" s="9"/>
      <c r="E3173" s="9"/>
      <c r="F3173" s="9"/>
      <c r="G3173" s="10"/>
      <c r="H3173" s="9"/>
      <c r="I3173" s="15"/>
      <c r="J3173" s="9"/>
      <c r="K3173" s="9"/>
      <c r="L3173" s="9"/>
      <c r="M3173" s="9"/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/>
      <c r="Z3173" s="9"/>
      <c r="AA3173" s="9"/>
    </row>
    <row r="3174">
      <c r="A3174" s="9"/>
      <c r="B3174" s="9"/>
      <c r="C3174" s="9"/>
      <c r="D3174" s="9"/>
      <c r="E3174" s="9"/>
      <c r="F3174" s="9"/>
      <c r="G3174" s="10"/>
      <c r="H3174" s="9"/>
      <c r="I3174" s="15"/>
      <c r="J3174" s="9"/>
      <c r="K3174" s="9"/>
      <c r="L3174" s="9"/>
      <c r="M3174" s="9"/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/>
      <c r="Z3174" s="9"/>
      <c r="AA3174" s="9"/>
    </row>
    <row r="3175">
      <c r="A3175" s="9"/>
      <c r="B3175" s="9"/>
      <c r="C3175" s="9"/>
      <c r="D3175" s="9"/>
      <c r="E3175" s="9"/>
      <c r="F3175" s="9"/>
      <c r="G3175" s="10"/>
      <c r="H3175" s="9"/>
      <c r="I3175" s="15"/>
      <c r="J3175" s="9"/>
      <c r="K3175" s="9"/>
      <c r="L3175" s="9"/>
      <c r="M3175" s="9"/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/>
      <c r="Z3175" s="9"/>
      <c r="AA3175" s="9"/>
    </row>
    <row r="3176">
      <c r="A3176" s="9"/>
      <c r="B3176" s="9"/>
      <c r="C3176" s="9"/>
      <c r="D3176" s="9"/>
      <c r="E3176" s="9"/>
      <c r="F3176" s="9"/>
      <c r="G3176" s="10"/>
      <c r="H3176" s="9"/>
      <c r="I3176" s="15"/>
      <c r="J3176" s="9"/>
      <c r="K3176" s="9"/>
      <c r="L3176" s="9"/>
      <c r="M3176" s="9"/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/>
      <c r="Z3176" s="9"/>
      <c r="AA3176" s="9"/>
    </row>
    <row r="3177">
      <c r="A3177" s="9"/>
      <c r="B3177" s="9"/>
      <c r="C3177" s="9"/>
      <c r="D3177" s="9"/>
      <c r="E3177" s="9"/>
      <c r="F3177" s="9"/>
      <c r="G3177" s="10"/>
      <c r="H3177" s="9"/>
      <c r="I3177" s="15"/>
      <c r="J3177" s="9"/>
      <c r="K3177" s="9"/>
      <c r="L3177" s="9"/>
      <c r="M3177" s="9"/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/>
      <c r="Z3177" s="9"/>
      <c r="AA3177" s="9"/>
    </row>
    <row r="3178">
      <c r="A3178" s="9"/>
      <c r="B3178" s="9"/>
      <c r="C3178" s="9"/>
      <c r="D3178" s="9"/>
      <c r="E3178" s="9"/>
      <c r="F3178" s="9"/>
      <c r="G3178" s="10"/>
      <c r="H3178" s="9"/>
      <c r="I3178" s="15"/>
      <c r="J3178" s="9"/>
      <c r="K3178" s="9"/>
      <c r="L3178" s="9"/>
      <c r="M3178" s="9"/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/>
      <c r="Z3178" s="9"/>
      <c r="AA3178" s="9"/>
    </row>
    <row r="3179">
      <c r="A3179" s="9"/>
      <c r="B3179" s="9"/>
      <c r="C3179" s="9"/>
      <c r="D3179" s="9"/>
      <c r="E3179" s="9"/>
      <c r="F3179" s="9"/>
      <c r="G3179" s="10"/>
      <c r="H3179" s="9"/>
      <c r="I3179" s="15"/>
      <c r="J3179" s="9"/>
      <c r="K3179" s="9"/>
      <c r="L3179" s="9"/>
      <c r="M3179" s="9"/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/>
      <c r="Z3179" s="9"/>
      <c r="AA3179" s="9"/>
    </row>
    <row r="3180">
      <c r="A3180" s="9"/>
      <c r="B3180" s="9"/>
      <c r="C3180" s="9"/>
      <c r="D3180" s="9"/>
      <c r="E3180" s="9"/>
      <c r="F3180" s="9"/>
      <c r="G3180" s="10"/>
      <c r="H3180" s="9"/>
      <c r="I3180" s="15"/>
      <c r="J3180" s="9"/>
      <c r="K3180" s="9"/>
      <c r="L3180" s="9"/>
      <c r="M3180" s="9"/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/>
      <c r="Z3180" s="9"/>
      <c r="AA3180" s="9"/>
    </row>
    <row r="3181">
      <c r="A3181" s="9"/>
      <c r="B3181" s="9"/>
      <c r="C3181" s="9"/>
      <c r="D3181" s="9"/>
      <c r="E3181" s="9"/>
      <c r="F3181" s="9"/>
      <c r="G3181" s="10"/>
      <c r="H3181" s="9"/>
      <c r="I3181" s="15"/>
      <c r="J3181" s="9"/>
      <c r="K3181" s="9"/>
      <c r="L3181" s="9"/>
      <c r="M3181" s="9"/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/>
      <c r="Z3181" s="9"/>
      <c r="AA3181" s="9"/>
    </row>
    <row r="3182">
      <c r="A3182" s="9"/>
      <c r="B3182" s="9"/>
      <c r="C3182" s="9"/>
      <c r="D3182" s="9"/>
      <c r="E3182" s="9"/>
      <c r="F3182" s="9"/>
      <c r="G3182" s="10"/>
      <c r="H3182" s="9"/>
      <c r="I3182" s="15"/>
      <c r="J3182" s="9"/>
      <c r="K3182" s="9"/>
      <c r="L3182" s="9"/>
      <c r="M3182" s="9"/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/>
      <c r="Z3182" s="9"/>
      <c r="AA3182" s="9"/>
    </row>
    <row r="3183">
      <c r="A3183" s="9"/>
      <c r="B3183" s="9"/>
      <c r="C3183" s="9"/>
      <c r="D3183" s="9"/>
      <c r="E3183" s="9"/>
      <c r="F3183" s="9"/>
      <c r="G3183" s="10"/>
      <c r="H3183" s="9"/>
      <c r="I3183" s="15"/>
      <c r="J3183" s="9"/>
      <c r="K3183" s="9"/>
      <c r="L3183" s="9"/>
      <c r="M3183" s="9"/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/>
      <c r="Z3183" s="9"/>
      <c r="AA3183" s="9"/>
    </row>
    <row r="3184">
      <c r="A3184" s="9"/>
      <c r="B3184" s="9"/>
      <c r="C3184" s="9"/>
      <c r="D3184" s="9"/>
      <c r="E3184" s="9"/>
      <c r="F3184" s="9"/>
      <c r="G3184" s="10"/>
      <c r="H3184" s="9"/>
      <c r="I3184" s="15"/>
      <c r="J3184" s="9"/>
      <c r="K3184" s="9"/>
      <c r="L3184" s="9"/>
      <c r="M3184" s="9"/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/>
      <c r="Z3184" s="9"/>
      <c r="AA3184" s="9"/>
    </row>
    <row r="3185">
      <c r="A3185" s="9"/>
      <c r="B3185" s="9"/>
      <c r="C3185" s="9"/>
      <c r="D3185" s="9"/>
      <c r="E3185" s="9"/>
      <c r="F3185" s="9"/>
      <c r="G3185" s="10"/>
      <c r="H3185" s="9"/>
      <c r="I3185" s="15"/>
      <c r="J3185" s="9"/>
      <c r="K3185" s="9"/>
      <c r="L3185" s="9"/>
      <c r="M3185" s="9"/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/>
      <c r="Z3185" s="9"/>
      <c r="AA3185" s="9"/>
    </row>
    <row r="3186">
      <c r="A3186" s="9"/>
      <c r="B3186" s="9"/>
      <c r="C3186" s="9"/>
      <c r="D3186" s="9"/>
      <c r="E3186" s="9"/>
      <c r="F3186" s="9"/>
      <c r="G3186" s="10"/>
      <c r="H3186" s="9"/>
      <c r="I3186" s="15"/>
      <c r="J3186" s="9"/>
      <c r="K3186" s="9"/>
      <c r="L3186" s="9"/>
      <c r="M3186" s="9"/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/>
      <c r="Z3186" s="9"/>
      <c r="AA3186" s="9"/>
    </row>
    <row r="3187">
      <c r="A3187" s="9"/>
      <c r="B3187" s="9"/>
      <c r="C3187" s="9"/>
      <c r="D3187" s="9"/>
      <c r="E3187" s="9"/>
      <c r="F3187" s="9"/>
      <c r="G3187" s="10"/>
      <c r="H3187" s="9"/>
      <c r="I3187" s="15"/>
      <c r="J3187" s="9"/>
      <c r="K3187" s="9"/>
      <c r="L3187" s="9"/>
      <c r="M3187" s="9"/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/>
      <c r="Z3187" s="9"/>
      <c r="AA3187" s="9"/>
    </row>
    <row r="3188">
      <c r="A3188" s="9"/>
      <c r="B3188" s="9"/>
      <c r="C3188" s="9"/>
      <c r="D3188" s="9"/>
      <c r="E3188" s="9"/>
      <c r="F3188" s="9"/>
      <c r="G3188" s="10"/>
      <c r="H3188" s="9"/>
      <c r="I3188" s="15"/>
      <c r="J3188" s="9"/>
      <c r="K3188" s="9"/>
      <c r="L3188" s="9"/>
      <c r="M3188" s="9"/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/>
      <c r="Z3188" s="9"/>
      <c r="AA3188" s="9"/>
    </row>
    <row r="3189">
      <c r="A3189" s="9"/>
      <c r="B3189" s="9"/>
      <c r="C3189" s="9"/>
      <c r="D3189" s="9"/>
      <c r="E3189" s="9"/>
      <c r="F3189" s="9"/>
      <c r="G3189" s="10"/>
      <c r="H3189" s="9"/>
      <c r="I3189" s="15"/>
      <c r="J3189" s="9"/>
      <c r="K3189" s="9"/>
      <c r="L3189" s="9"/>
      <c r="M3189" s="9"/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/>
      <c r="Z3189" s="9"/>
      <c r="AA3189" s="9"/>
    </row>
    <row r="3190">
      <c r="A3190" s="9"/>
      <c r="B3190" s="9"/>
      <c r="C3190" s="9"/>
      <c r="D3190" s="9"/>
      <c r="E3190" s="9"/>
      <c r="F3190" s="9"/>
      <c r="G3190" s="10"/>
      <c r="H3190" s="9"/>
      <c r="I3190" s="15"/>
      <c r="J3190" s="9"/>
      <c r="K3190" s="9"/>
      <c r="L3190" s="9"/>
      <c r="M3190" s="9"/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/>
      <c r="Z3190" s="9"/>
      <c r="AA3190" s="9"/>
    </row>
    <row r="3191">
      <c r="A3191" s="9"/>
      <c r="B3191" s="9"/>
      <c r="C3191" s="9"/>
      <c r="D3191" s="9"/>
      <c r="E3191" s="9"/>
      <c r="F3191" s="9"/>
      <c r="G3191" s="10"/>
      <c r="H3191" s="9"/>
      <c r="I3191" s="15"/>
      <c r="J3191" s="9"/>
      <c r="K3191" s="9"/>
      <c r="L3191" s="9"/>
      <c r="M3191" s="9"/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/>
      <c r="Z3191" s="9"/>
      <c r="AA3191" s="9"/>
    </row>
    <row r="3192">
      <c r="A3192" s="9"/>
      <c r="B3192" s="9"/>
      <c r="C3192" s="9"/>
      <c r="D3192" s="9"/>
      <c r="E3192" s="9"/>
      <c r="F3192" s="9"/>
      <c r="G3192" s="10"/>
      <c r="H3192" s="9"/>
      <c r="I3192" s="15"/>
      <c r="J3192" s="9"/>
      <c r="K3192" s="9"/>
      <c r="L3192" s="9"/>
      <c r="M3192" s="9"/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/>
      <c r="Z3192" s="9"/>
      <c r="AA3192" s="9"/>
    </row>
    <row r="3193">
      <c r="A3193" s="9"/>
      <c r="B3193" s="9"/>
      <c r="C3193" s="9"/>
      <c r="D3193" s="9"/>
      <c r="E3193" s="9"/>
      <c r="F3193" s="9"/>
      <c r="G3193" s="10"/>
      <c r="H3193" s="9"/>
      <c r="I3193" s="15"/>
      <c r="J3193" s="9"/>
      <c r="K3193" s="9"/>
      <c r="L3193" s="9"/>
      <c r="M3193" s="9"/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/>
      <c r="Z3193" s="9"/>
      <c r="AA3193" s="9"/>
    </row>
    <row r="3194">
      <c r="A3194" s="9"/>
      <c r="B3194" s="9"/>
      <c r="C3194" s="9"/>
      <c r="D3194" s="9"/>
      <c r="E3194" s="9"/>
      <c r="F3194" s="9"/>
      <c r="G3194" s="10"/>
      <c r="H3194" s="9"/>
      <c r="I3194" s="15"/>
      <c r="J3194" s="9"/>
      <c r="K3194" s="9"/>
      <c r="L3194" s="9"/>
      <c r="M3194" s="9"/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/>
      <c r="Z3194" s="9"/>
      <c r="AA3194" s="9"/>
    </row>
    <row r="3195">
      <c r="A3195" s="9"/>
      <c r="B3195" s="9"/>
      <c r="C3195" s="9"/>
      <c r="D3195" s="9"/>
      <c r="E3195" s="9"/>
      <c r="F3195" s="9"/>
      <c r="G3195" s="10"/>
      <c r="H3195" s="9"/>
      <c r="I3195" s="15"/>
      <c r="J3195" s="9"/>
      <c r="K3195" s="9"/>
      <c r="L3195" s="9"/>
      <c r="M3195" s="9"/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/>
      <c r="Z3195" s="9"/>
      <c r="AA3195" s="9"/>
    </row>
    <row r="3196">
      <c r="A3196" s="9"/>
      <c r="B3196" s="9"/>
      <c r="C3196" s="9"/>
      <c r="D3196" s="9"/>
      <c r="E3196" s="9"/>
      <c r="F3196" s="9"/>
      <c r="G3196" s="10"/>
      <c r="H3196" s="9"/>
      <c r="I3196" s="15"/>
      <c r="J3196" s="9"/>
      <c r="K3196" s="9"/>
      <c r="L3196" s="9"/>
      <c r="M3196" s="9"/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/>
      <c r="Z3196" s="9"/>
      <c r="AA3196" s="9"/>
    </row>
    <row r="3197">
      <c r="A3197" s="9"/>
      <c r="B3197" s="9"/>
      <c r="C3197" s="9"/>
      <c r="D3197" s="9"/>
      <c r="E3197" s="9"/>
      <c r="F3197" s="9"/>
      <c r="G3197" s="10"/>
      <c r="H3197" s="9"/>
      <c r="I3197" s="15"/>
      <c r="J3197" s="9"/>
      <c r="K3197" s="9"/>
      <c r="L3197" s="9"/>
      <c r="M3197" s="9"/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/>
      <c r="Z3197" s="9"/>
      <c r="AA3197" s="9"/>
    </row>
    <row r="3198">
      <c r="A3198" s="9"/>
      <c r="B3198" s="9"/>
      <c r="C3198" s="9"/>
      <c r="D3198" s="9"/>
      <c r="E3198" s="9"/>
      <c r="F3198" s="9"/>
      <c r="G3198" s="10"/>
      <c r="H3198" s="9"/>
      <c r="I3198" s="15"/>
      <c r="J3198" s="9"/>
      <c r="K3198" s="9"/>
      <c r="L3198" s="9"/>
      <c r="M3198" s="9"/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/>
      <c r="Z3198" s="9"/>
      <c r="AA3198" s="9"/>
    </row>
    <row r="3199">
      <c r="A3199" s="9"/>
      <c r="B3199" s="9"/>
      <c r="C3199" s="9"/>
      <c r="D3199" s="9"/>
      <c r="E3199" s="9"/>
      <c r="F3199" s="9"/>
      <c r="G3199" s="10"/>
      <c r="H3199" s="9"/>
      <c r="I3199" s="15"/>
      <c r="J3199" s="9"/>
      <c r="K3199" s="9"/>
      <c r="L3199" s="9"/>
      <c r="M3199" s="9"/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/>
      <c r="Z3199" s="9"/>
      <c r="AA3199" s="9"/>
    </row>
    <row r="3200">
      <c r="A3200" s="9"/>
      <c r="B3200" s="9"/>
      <c r="C3200" s="9"/>
      <c r="D3200" s="9"/>
      <c r="E3200" s="9"/>
      <c r="F3200" s="9"/>
      <c r="G3200" s="10"/>
      <c r="H3200" s="9"/>
      <c r="I3200" s="15"/>
      <c r="J3200" s="9"/>
      <c r="K3200" s="9"/>
      <c r="L3200" s="9"/>
      <c r="M3200" s="9"/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/>
      <c r="Z3200" s="9"/>
      <c r="AA3200" s="9"/>
    </row>
    <row r="3201">
      <c r="A3201" s="9"/>
      <c r="B3201" s="9"/>
      <c r="C3201" s="9"/>
      <c r="D3201" s="9"/>
      <c r="E3201" s="9"/>
      <c r="F3201" s="9"/>
      <c r="G3201" s="10"/>
      <c r="H3201" s="9"/>
      <c r="I3201" s="15"/>
      <c r="J3201" s="9"/>
      <c r="K3201" s="9"/>
      <c r="L3201" s="9"/>
      <c r="M3201" s="9"/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/>
      <c r="Z3201" s="9"/>
      <c r="AA3201" s="9"/>
    </row>
    <row r="3202">
      <c r="A3202" s="9"/>
      <c r="B3202" s="9"/>
      <c r="C3202" s="9"/>
      <c r="D3202" s="9"/>
      <c r="E3202" s="9"/>
      <c r="F3202" s="9"/>
      <c r="G3202" s="10"/>
      <c r="H3202" s="9"/>
      <c r="I3202" s="15"/>
      <c r="J3202" s="9"/>
      <c r="K3202" s="9"/>
      <c r="L3202" s="9"/>
      <c r="M3202" s="9"/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/>
      <c r="Z3202" s="9"/>
      <c r="AA3202" s="9"/>
    </row>
    <row r="3203">
      <c r="A3203" s="9"/>
      <c r="B3203" s="9"/>
      <c r="C3203" s="9"/>
      <c r="D3203" s="9"/>
      <c r="E3203" s="9"/>
      <c r="F3203" s="9"/>
      <c r="G3203" s="10"/>
      <c r="H3203" s="9"/>
      <c r="I3203" s="15"/>
      <c r="J3203" s="9"/>
      <c r="K3203" s="9"/>
      <c r="L3203" s="9"/>
      <c r="M3203" s="9"/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/>
      <c r="Z3203" s="9"/>
      <c r="AA3203" s="9"/>
    </row>
    <row r="3204">
      <c r="A3204" s="9"/>
      <c r="B3204" s="9"/>
      <c r="C3204" s="9"/>
      <c r="D3204" s="9"/>
      <c r="E3204" s="9"/>
      <c r="F3204" s="9"/>
      <c r="G3204" s="10"/>
      <c r="H3204" s="9"/>
      <c r="I3204" s="15"/>
      <c r="J3204" s="9"/>
      <c r="K3204" s="9"/>
      <c r="L3204" s="9"/>
      <c r="M3204" s="9"/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/>
      <c r="Z3204" s="9"/>
      <c r="AA3204" s="9"/>
    </row>
    <row r="3205">
      <c r="A3205" s="9"/>
      <c r="B3205" s="9"/>
      <c r="C3205" s="9"/>
      <c r="D3205" s="9"/>
      <c r="E3205" s="9"/>
      <c r="F3205" s="9"/>
      <c r="G3205" s="10"/>
      <c r="H3205" s="9"/>
      <c r="I3205" s="15"/>
      <c r="J3205" s="9"/>
      <c r="K3205" s="9"/>
      <c r="L3205" s="9"/>
      <c r="M3205" s="9"/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/>
      <c r="Z3205" s="9"/>
      <c r="AA3205" s="9"/>
    </row>
    <row r="3206">
      <c r="A3206" s="9"/>
      <c r="B3206" s="9"/>
      <c r="C3206" s="9"/>
      <c r="D3206" s="9"/>
      <c r="E3206" s="9"/>
      <c r="F3206" s="9"/>
      <c r="G3206" s="10"/>
      <c r="H3206" s="9"/>
      <c r="I3206" s="15"/>
      <c r="J3206" s="9"/>
      <c r="K3206" s="9"/>
      <c r="L3206" s="9"/>
      <c r="M3206" s="9"/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/>
      <c r="Z3206" s="9"/>
      <c r="AA3206" s="9"/>
    </row>
    <row r="3207">
      <c r="A3207" s="9"/>
      <c r="B3207" s="9"/>
      <c r="C3207" s="9"/>
      <c r="D3207" s="9"/>
      <c r="E3207" s="9"/>
      <c r="F3207" s="9"/>
      <c r="G3207" s="10"/>
      <c r="H3207" s="9"/>
      <c r="I3207" s="15"/>
      <c r="J3207" s="9"/>
      <c r="K3207" s="9"/>
      <c r="L3207" s="9"/>
      <c r="M3207" s="9"/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/>
      <c r="Z3207" s="9"/>
      <c r="AA3207" s="9"/>
    </row>
    <row r="3208">
      <c r="A3208" s="9"/>
      <c r="B3208" s="9"/>
      <c r="C3208" s="9"/>
      <c r="D3208" s="9"/>
      <c r="E3208" s="9"/>
      <c r="F3208" s="9"/>
      <c r="G3208" s="10"/>
      <c r="H3208" s="9"/>
      <c r="I3208" s="15"/>
      <c r="J3208" s="9"/>
      <c r="K3208" s="9"/>
      <c r="L3208" s="9"/>
      <c r="M3208" s="9"/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/>
      <c r="Z3208" s="9"/>
      <c r="AA3208" s="9"/>
    </row>
    <row r="3209">
      <c r="A3209" s="9"/>
      <c r="B3209" s="9"/>
      <c r="C3209" s="9"/>
      <c r="D3209" s="9"/>
      <c r="E3209" s="9"/>
      <c r="F3209" s="9"/>
      <c r="G3209" s="10"/>
      <c r="H3209" s="9"/>
      <c r="I3209" s="15"/>
      <c r="J3209" s="9"/>
      <c r="K3209" s="9"/>
      <c r="L3209" s="9"/>
      <c r="M3209" s="9"/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/>
      <c r="Z3209" s="9"/>
      <c r="AA3209" s="9"/>
    </row>
    <row r="3210">
      <c r="A3210" s="9"/>
      <c r="B3210" s="9"/>
      <c r="C3210" s="9"/>
      <c r="D3210" s="9"/>
      <c r="E3210" s="9"/>
      <c r="F3210" s="9"/>
      <c r="G3210" s="10"/>
      <c r="H3210" s="9"/>
      <c r="I3210" s="15"/>
      <c r="J3210" s="9"/>
      <c r="K3210" s="9"/>
      <c r="L3210" s="9"/>
      <c r="M3210" s="9"/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/>
      <c r="Z3210" s="9"/>
      <c r="AA3210" s="9"/>
    </row>
    <row r="3211">
      <c r="A3211" s="9"/>
      <c r="B3211" s="9"/>
      <c r="C3211" s="9"/>
      <c r="D3211" s="9"/>
      <c r="E3211" s="9"/>
      <c r="F3211" s="9"/>
      <c r="G3211" s="10"/>
      <c r="H3211" s="9"/>
      <c r="I3211" s="15"/>
      <c r="J3211" s="9"/>
      <c r="K3211" s="9"/>
      <c r="L3211" s="9"/>
      <c r="M3211" s="9"/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  <c r="Z3211" s="9"/>
      <c r="AA3211" s="9"/>
    </row>
    <row r="3212">
      <c r="A3212" s="9"/>
      <c r="B3212" s="9"/>
      <c r="C3212" s="9"/>
      <c r="D3212" s="9"/>
      <c r="E3212" s="9"/>
      <c r="F3212" s="9"/>
      <c r="G3212" s="10"/>
      <c r="H3212" s="9"/>
      <c r="I3212" s="15"/>
      <c r="J3212" s="9"/>
      <c r="K3212" s="9"/>
      <c r="L3212" s="9"/>
      <c r="M3212" s="9"/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/>
      <c r="Z3212" s="9"/>
      <c r="AA3212" s="9"/>
    </row>
    <row r="3213">
      <c r="A3213" s="9"/>
      <c r="B3213" s="9"/>
      <c r="C3213" s="9"/>
      <c r="D3213" s="9"/>
      <c r="E3213" s="9"/>
      <c r="F3213" s="9"/>
      <c r="G3213" s="10"/>
      <c r="H3213" s="9"/>
      <c r="I3213" s="15"/>
      <c r="J3213" s="9"/>
      <c r="K3213" s="9"/>
      <c r="L3213" s="9"/>
      <c r="M3213" s="9"/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/>
      <c r="Z3213" s="9"/>
      <c r="AA3213" s="9"/>
    </row>
    <row r="3214">
      <c r="A3214" s="9"/>
      <c r="B3214" s="9"/>
      <c r="C3214" s="9"/>
      <c r="D3214" s="9"/>
      <c r="E3214" s="9"/>
      <c r="F3214" s="9"/>
      <c r="G3214" s="10"/>
      <c r="H3214" s="9"/>
      <c r="I3214" s="15"/>
      <c r="J3214" s="9"/>
      <c r="K3214" s="9"/>
      <c r="L3214" s="9"/>
      <c r="M3214" s="9"/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/>
      <c r="Z3214" s="9"/>
      <c r="AA3214" s="9"/>
    </row>
    <row r="3215">
      <c r="A3215" s="9"/>
      <c r="B3215" s="9"/>
      <c r="C3215" s="9"/>
      <c r="D3215" s="9"/>
      <c r="E3215" s="9"/>
      <c r="F3215" s="9"/>
      <c r="G3215" s="10"/>
      <c r="H3215" s="9"/>
      <c r="I3215" s="15"/>
      <c r="J3215" s="9"/>
      <c r="K3215" s="9"/>
      <c r="L3215" s="9"/>
      <c r="M3215" s="9"/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/>
      <c r="Z3215" s="9"/>
      <c r="AA3215" s="9"/>
    </row>
    <row r="3216">
      <c r="A3216" s="9"/>
      <c r="B3216" s="9"/>
      <c r="C3216" s="9"/>
      <c r="D3216" s="9"/>
      <c r="E3216" s="9"/>
      <c r="F3216" s="9"/>
      <c r="G3216" s="10"/>
      <c r="H3216" s="9"/>
      <c r="I3216" s="15"/>
      <c r="J3216" s="9"/>
      <c r="K3216" s="9"/>
      <c r="L3216" s="9"/>
      <c r="M3216" s="9"/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/>
      <c r="Z3216" s="9"/>
      <c r="AA3216" s="9"/>
    </row>
    <row r="3217">
      <c r="A3217" s="9"/>
      <c r="B3217" s="9"/>
      <c r="C3217" s="9"/>
      <c r="D3217" s="9"/>
      <c r="E3217" s="9"/>
      <c r="F3217" s="9"/>
      <c r="G3217" s="10"/>
      <c r="H3217" s="9"/>
      <c r="I3217" s="15"/>
      <c r="J3217" s="9"/>
      <c r="K3217" s="9"/>
      <c r="L3217" s="9"/>
      <c r="M3217" s="9"/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/>
      <c r="Z3217" s="9"/>
      <c r="AA3217" s="9"/>
    </row>
    <row r="3218">
      <c r="A3218" s="9"/>
      <c r="B3218" s="9"/>
      <c r="C3218" s="9"/>
      <c r="D3218" s="9"/>
      <c r="E3218" s="9"/>
      <c r="F3218" s="9"/>
      <c r="G3218" s="10"/>
      <c r="H3218" s="9"/>
      <c r="I3218" s="15"/>
      <c r="J3218" s="9"/>
      <c r="K3218" s="9"/>
      <c r="L3218" s="9"/>
      <c r="M3218" s="9"/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/>
      <c r="Z3218" s="9"/>
      <c r="AA3218" s="9"/>
    </row>
    <row r="3219">
      <c r="A3219" s="9"/>
      <c r="B3219" s="9"/>
      <c r="C3219" s="9"/>
      <c r="D3219" s="9"/>
      <c r="E3219" s="9"/>
      <c r="F3219" s="9"/>
      <c r="G3219" s="10"/>
      <c r="H3219" s="9"/>
      <c r="I3219" s="15"/>
      <c r="J3219" s="9"/>
      <c r="K3219" s="9"/>
      <c r="L3219" s="9"/>
      <c r="M3219" s="9"/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/>
      <c r="Z3219" s="9"/>
      <c r="AA3219" s="9"/>
    </row>
    <row r="3220">
      <c r="A3220" s="9"/>
      <c r="B3220" s="9"/>
      <c r="C3220" s="9"/>
      <c r="D3220" s="9"/>
      <c r="E3220" s="9"/>
      <c r="F3220" s="9"/>
      <c r="G3220" s="10"/>
      <c r="H3220" s="9"/>
      <c r="I3220" s="15"/>
      <c r="J3220" s="9"/>
      <c r="K3220" s="9"/>
      <c r="L3220" s="9"/>
      <c r="M3220" s="9"/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/>
      <c r="Z3220" s="9"/>
      <c r="AA3220" s="9"/>
    </row>
    <row r="3221">
      <c r="A3221" s="9"/>
      <c r="B3221" s="9"/>
      <c r="C3221" s="9"/>
      <c r="D3221" s="9"/>
      <c r="E3221" s="9"/>
      <c r="F3221" s="9"/>
      <c r="G3221" s="10"/>
      <c r="H3221" s="9"/>
      <c r="I3221" s="15"/>
      <c r="J3221" s="9"/>
      <c r="K3221" s="9"/>
      <c r="L3221" s="9"/>
      <c r="M3221" s="9"/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/>
      <c r="Z3221" s="9"/>
      <c r="AA3221" s="9"/>
    </row>
    <row r="3222">
      <c r="A3222" s="9"/>
      <c r="B3222" s="9"/>
      <c r="C3222" s="9"/>
      <c r="D3222" s="9"/>
      <c r="E3222" s="9"/>
      <c r="F3222" s="9"/>
      <c r="G3222" s="10"/>
      <c r="H3222" s="9"/>
      <c r="I3222" s="15"/>
      <c r="J3222" s="9"/>
      <c r="K3222" s="9"/>
      <c r="L3222" s="9"/>
      <c r="M3222" s="9"/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/>
      <c r="Z3222" s="9"/>
      <c r="AA3222" s="9"/>
    </row>
    <row r="3223">
      <c r="A3223" s="9"/>
      <c r="B3223" s="9"/>
      <c r="C3223" s="9"/>
      <c r="D3223" s="9"/>
      <c r="E3223" s="9"/>
      <c r="F3223" s="9"/>
      <c r="G3223" s="10"/>
      <c r="H3223" s="9"/>
      <c r="I3223" s="15"/>
      <c r="J3223" s="9"/>
      <c r="K3223" s="9"/>
      <c r="L3223" s="9"/>
      <c r="M3223" s="9"/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/>
      <c r="Z3223" s="9"/>
      <c r="AA3223" s="9"/>
    </row>
    <row r="3224">
      <c r="A3224" s="9"/>
      <c r="B3224" s="9"/>
      <c r="C3224" s="9"/>
      <c r="D3224" s="9"/>
      <c r="E3224" s="9"/>
      <c r="F3224" s="9"/>
      <c r="G3224" s="10"/>
      <c r="H3224" s="9"/>
      <c r="I3224" s="15"/>
      <c r="J3224" s="9"/>
      <c r="K3224" s="9"/>
      <c r="L3224" s="9"/>
      <c r="M3224" s="9"/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/>
      <c r="Z3224" s="9"/>
      <c r="AA3224" s="9"/>
    </row>
    <row r="3225">
      <c r="A3225" s="9"/>
      <c r="B3225" s="9"/>
      <c r="C3225" s="9"/>
      <c r="D3225" s="9"/>
      <c r="E3225" s="9"/>
      <c r="F3225" s="9"/>
      <c r="G3225" s="10"/>
      <c r="H3225" s="9"/>
      <c r="I3225" s="15"/>
      <c r="J3225" s="9"/>
      <c r="K3225" s="9"/>
      <c r="L3225" s="9"/>
      <c r="M3225" s="9"/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/>
      <c r="Z3225" s="9"/>
      <c r="AA3225" s="9"/>
    </row>
    <row r="3226">
      <c r="A3226" s="9"/>
      <c r="B3226" s="9"/>
      <c r="C3226" s="9"/>
      <c r="D3226" s="9"/>
      <c r="E3226" s="9"/>
      <c r="F3226" s="9"/>
      <c r="G3226" s="10"/>
      <c r="H3226" s="9"/>
      <c r="I3226" s="15"/>
      <c r="J3226" s="9"/>
      <c r="K3226" s="9"/>
      <c r="L3226" s="9"/>
      <c r="M3226" s="9"/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/>
      <c r="Z3226" s="9"/>
      <c r="AA3226" s="9"/>
    </row>
    <row r="3227">
      <c r="A3227" s="9"/>
      <c r="B3227" s="9"/>
      <c r="C3227" s="9"/>
      <c r="D3227" s="9"/>
      <c r="E3227" s="9"/>
      <c r="F3227" s="9"/>
      <c r="G3227" s="10"/>
      <c r="H3227" s="9"/>
      <c r="I3227" s="15"/>
      <c r="J3227" s="9"/>
      <c r="K3227" s="9"/>
      <c r="L3227" s="9"/>
      <c r="M3227" s="9"/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/>
      <c r="Z3227" s="9"/>
      <c r="AA3227" s="9"/>
    </row>
    <row r="3228">
      <c r="A3228" s="9"/>
      <c r="B3228" s="9"/>
      <c r="C3228" s="9"/>
      <c r="D3228" s="9"/>
      <c r="E3228" s="9"/>
      <c r="F3228" s="9"/>
      <c r="G3228" s="10"/>
      <c r="H3228" s="9"/>
      <c r="I3228" s="15"/>
      <c r="J3228" s="9"/>
      <c r="K3228" s="9"/>
      <c r="L3228" s="9"/>
      <c r="M3228" s="9"/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/>
      <c r="Z3228" s="9"/>
      <c r="AA3228" s="9"/>
    </row>
    <row r="3229">
      <c r="A3229" s="9"/>
      <c r="B3229" s="9"/>
      <c r="C3229" s="9"/>
      <c r="D3229" s="9"/>
      <c r="E3229" s="9"/>
      <c r="F3229" s="9"/>
      <c r="G3229" s="10"/>
      <c r="H3229" s="9"/>
      <c r="I3229" s="15"/>
      <c r="J3229" s="9"/>
      <c r="K3229" s="9"/>
      <c r="L3229" s="9"/>
      <c r="M3229" s="9"/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/>
      <c r="Z3229" s="9"/>
      <c r="AA3229" s="9"/>
    </row>
    <row r="3230">
      <c r="A3230" s="9"/>
      <c r="B3230" s="9"/>
      <c r="C3230" s="9"/>
      <c r="D3230" s="9"/>
      <c r="E3230" s="9"/>
      <c r="F3230" s="9"/>
      <c r="G3230" s="10"/>
      <c r="H3230" s="9"/>
      <c r="I3230" s="15"/>
      <c r="J3230" s="9"/>
      <c r="K3230" s="9"/>
      <c r="L3230" s="9"/>
      <c r="M3230" s="9"/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/>
      <c r="Z3230" s="9"/>
      <c r="AA3230" s="9"/>
    </row>
    <row r="3231">
      <c r="A3231" s="9"/>
      <c r="B3231" s="9"/>
      <c r="C3231" s="9"/>
      <c r="D3231" s="9"/>
      <c r="E3231" s="9"/>
      <c r="F3231" s="9"/>
      <c r="G3231" s="10"/>
      <c r="H3231" s="9"/>
      <c r="I3231" s="15"/>
      <c r="J3231" s="9"/>
      <c r="K3231" s="9"/>
      <c r="L3231" s="9"/>
      <c r="M3231" s="9"/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/>
      <c r="Z3231" s="9"/>
      <c r="AA3231" s="9"/>
    </row>
    <row r="3232">
      <c r="A3232" s="9"/>
      <c r="B3232" s="9"/>
      <c r="C3232" s="9"/>
      <c r="D3232" s="9"/>
      <c r="E3232" s="9"/>
      <c r="F3232" s="9"/>
      <c r="G3232" s="10"/>
      <c r="H3232" s="9"/>
      <c r="I3232" s="15"/>
      <c r="J3232" s="9"/>
      <c r="K3232" s="9"/>
      <c r="L3232" s="9"/>
      <c r="M3232" s="9"/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/>
      <c r="Z3232" s="9"/>
      <c r="AA3232" s="9"/>
    </row>
    <row r="3233">
      <c r="A3233" s="9"/>
      <c r="B3233" s="9"/>
      <c r="C3233" s="9"/>
      <c r="D3233" s="9"/>
      <c r="E3233" s="9"/>
      <c r="F3233" s="9"/>
      <c r="G3233" s="10"/>
      <c r="H3233" s="9"/>
      <c r="I3233" s="15"/>
      <c r="J3233" s="9"/>
      <c r="K3233" s="9"/>
      <c r="L3233" s="9"/>
      <c r="M3233" s="9"/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/>
      <c r="Z3233" s="9"/>
      <c r="AA3233" s="9"/>
    </row>
    <row r="3234">
      <c r="A3234" s="9"/>
      <c r="B3234" s="9"/>
      <c r="C3234" s="9"/>
      <c r="D3234" s="9"/>
      <c r="E3234" s="9"/>
      <c r="F3234" s="9"/>
      <c r="G3234" s="10"/>
      <c r="H3234" s="9"/>
      <c r="I3234" s="15"/>
      <c r="J3234" s="9"/>
      <c r="K3234" s="9"/>
      <c r="L3234" s="9"/>
      <c r="M3234" s="9"/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/>
      <c r="Z3234" s="9"/>
      <c r="AA3234" s="9"/>
    </row>
    <row r="3235">
      <c r="A3235" s="9"/>
      <c r="B3235" s="9"/>
      <c r="C3235" s="9"/>
      <c r="D3235" s="9"/>
      <c r="E3235" s="9"/>
      <c r="F3235" s="9"/>
      <c r="G3235" s="10"/>
      <c r="H3235" s="9"/>
      <c r="I3235" s="15"/>
      <c r="J3235" s="9"/>
      <c r="K3235" s="9"/>
      <c r="L3235" s="9"/>
      <c r="M3235" s="9"/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/>
      <c r="Z3235" s="9"/>
      <c r="AA3235" s="9"/>
    </row>
    <row r="3236">
      <c r="A3236" s="9"/>
      <c r="B3236" s="9"/>
      <c r="C3236" s="9"/>
      <c r="D3236" s="9"/>
      <c r="E3236" s="9"/>
      <c r="F3236" s="9"/>
      <c r="G3236" s="10"/>
      <c r="H3236" s="9"/>
      <c r="I3236" s="15"/>
      <c r="J3236" s="9"/>
      <c r="K3236" s="9"/>
      <c r="L3236" s="9"/>
      <c r="M3236" s="9"/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/>
      <c r="Z3236" s="9"/>
      <c r="AA3236" s="9"/>
    </row>
    <row r="3237">
      <c r="A3237" s="9"/>
      <c r="B3237" s="9"/>
      <c r="C3237" s="9"/>
      <c r="D3237" s="9"/>
      <c r="E3237" s="9"/>
      <c r="F3237" s="9"/>
      <c r="G3237" s="10"/>
      <c r="H3237" s="9"/>
      <c r="I3237" s="15"/>
      <c r="J3237" s="9"/>
      <c r="K3237" s="9"/>
      <c r="L3237" s="9"/>
      <c r="M3237" s="9"/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/>
      <c r="Z3237" s="9"/>
      <c r="AA3237" s="9"/>
    </row>
    <row r="3238">
      <c r="A3238" s="9"/>
      <c r="B3238" s="9"/>
      <c r="C3238" s="9"/>
      <c r="D3238" s="9"/>
      <c r="E3238" s="9"/>
      <c r="F3238" s="9"/>
      <c r="G3238" s="10"/>
      <c r="H3238" s="9"/>
      <c r="I3238" s="15"/>
      <c r="J3238" s="9"/>
      <c r="K3238" s="9"/>
      <c r="L3238" s="9"/>
      <c r="M3238" s="9"/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/>
      <c r="Z3238" s="9"/>
      <c r="AA3238" s="9"/>
    </row>
    <row r="3239">
      <c r="A3239" s="9"/>
      <c r="B3239" s="9"/>
      <c r="C3239" s="9"/>
      <c r="D3239" s="9"/>
      <c r="E3239" s="9"/>
      <c r="F3239" s="9"/>
      <c r="G3239" s="10"/>
      <c r="H3239" s="9"/>
      <c r="I3239" s="15"/>
      <c r="J3239" s="9"/>
      <c r="K3239" s="9"/>
      <c r="L3239" s="9"/>
      <c r="M3239" s="9"/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/>
      <c r="Z3239" s="9"/>
      <c r="AA3239" s="9"/>
    </row>
    <row r="3240">
      <c r="A3240" s="9"/>
      <c r="B3240" s="9"/>
      <c r="C3240" s="9"/>
      <c r="D3240" s="9"/>
      <c r="E3240" s="9"/>
      <c r="F3240" s="9"/>
      <c r="G3240" s="10"/>
      <c r="H3240" s="9"/>
      <c r="I3240" s="15"/>
      <c r="J3240" s="9"/>
      <c r="K3240" s="9"/>
      <c r="L3240" s="9"/>
      <c r="M3240" s="9"/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/>
      <c r="Z3240" s="9"/>
      <c r="AA3240" s="9"/>
    </row>
    <row r="3241">
      <c r="A3241" s="9"/>
      <c r="B3241" s="9"/>
      <c r="C3241" s="9"/>
      <c r="D3241" s="9"/>
      <c r="E3241" s="9"/>
      <c r="F3241" s="9"/>
      <c r="G3241" s="10"/>
      <c r="H3241" s="9"/>
      <c r="I3241" s="15"/>
      <c r="J3241" s="9"/>
      <c r="K3241" s="9"/>
      <c r="L3241" s="9"/>
      <c r="M3241" s="9"/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  <c r="Z3241" s="9"/>
      <c r="AA3241" s="9"/>
    </row>
    <row r="3242">
      <c r="A3242" s="9"/>
      <c r="B3242" s="9"/>
      <c r="C3242" s="9"/>
      <c r="D3242" s="9"/>
      <c r="E3242" s="9"/>
      <c r="F3242" s="9"/>
      <c r="G3242" s="10"/>
      <c r="H3242" s="9"/>
      <c r="I3242" s="15"/>
      <c r="J3242" s="9"/>
      <c r="K3242" s="9"/>
      <c r="L3242" s="9"/>
      <c r="M3242" s="9"/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  <c r="Z3242" s="9"/>
      <c r="AA3242" s="9"/>
    </row>
    <row r="3243">
      <c r="A3243" s="9"/>
      <c r="B3243" s="9"/>
      <c r="C3243" s="9"/>
      <c r="D3243" s="9"/>
      <c r="E3243" s="9"/>
      <c r="F3243" s="9"/>
      <c r="G3243" s="10"/>
      <c r="H3243" s="9"/>
      <c r="I3243" s="15"/>
      <c r="J3243" s="9"/>
      <c r="K3243" s="9"/>
      <c r="L3243" s="9"/>
      <c r="M3243" s="9"/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  <c r="Z3243" s="9"/>
      <c r="AA3243" s="9"/>
    </row>
    <row r="3244">
      <c r="A3244" s="9"/>
      <c r="B3244" s="9"/>
      <c r="C3244" s="9"/>
      <c r="D3244" s="9"/>
      <c r="E3244" s="9"/>
      <c r="F3244" s="9"/>
      <c r="G3244" s="10"/>
      <c r="H3244" s="9"/>
      <c r="I3244" s="15"/>
      <c r="J3244" s="9"/>
      <c r="K3244" s="9"/>
      <c r="L3244" s="9"/>
      <c r="M3244" s="9"/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  <c r="Z3244" s="9"/>
      <c r="AA3244" s="9"/>
    </row>
    <row r="3245">
      <c r="A3245" s="9"/>
      <c r="B3245" s="9"/>
      <c r="C3245" s="9"/>
      <c r="D3245" s="9"/>
      <c r="E3245" s="9"/>
      <c r="F3245" s="9"/>
      <c r="G3245" s="10"/>
      <c r="H3245" s="9"/>
      <c r="I3245" s="15"/>
      <c r="J3245" s="9"/>
      <c r="K3245" s="9"/>
      <c r="L3245" s="9"/>
      <c r="M3245" s="9"/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  <c r="Z3245" s="9"/>
      <c r="AA3245" s="9"/>
    </row>
    <row r="3246">
      <c r="A3246" s="9"/>
      <c r="B3246" s="9"/>
      <c r="C3246" s="9"/>
      <c r="D3246" s="9"/>
      <c r="E3246" s="9"/>
      <c r="F3246" s="9"/>
      <c r="G3246" s="10"/>
      <c r="H3246" s="9"/>
      <c r="I3246" s="15"/>
      <c r="J3246" s="9"/>
      <c r="K3246" s="9"/>
      <c r="L3246" s="9"/>
      <c r="M3246" s="9"/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  <c r="Z3246" s="9"/>
      <c r="AA3246" s="9"/>
    </row>
    <row r="3247">
      <c r="A3247" s="9"/>
      <c r="B3247" s="9"/>
      <c r="C3247" s="9"/>
      <c r="D3247" s="9"/>
      <c r="E3247" s="9"/>
      <c r="F3247" s="9"/>
      <c r="G3247" s="10"/>
      <c r="H3247" s="9"/>
      <c r="I3247" s="15"/>
      <c r="J3247" s="9"/>
      <c r="K3247" s="9"/>
      <c r="L3247" s="9"/>
      <c r="M3247" s="9"/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  <c r="Z3247" s="9"/>
      <c r="AA3247" s="9"/>
    </row>
    <row r="3248">
      <c r="A3248" s="9"/>
      <c r="B3248" s="9"/>
      <c r="C3248" s="9"/>
      <c r="D3248" s="9"/>
      <c r="E3248" s="9"/>
      <c r="F3248" s="9"/>
      <c r="G3248" s="10"/>
      <c r="H3248" s="9"/>
      <c r="I3248" s="15"/>
      <c r="J3248" s="9"/>
      <c r="K3248" s="9"/>
      <c r="L3248" s="9"/>
      <c r="M3248" s="9"/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  <c r="Z3248" s="9"/>
      <c r="AA3248" s="9"/>
    </row>
    <row r="3249">
      <c r="A3249" s="9"/>
      <c r="B3249" s="9"/>
      <c r="C3249" s="9"/>
      <c r="D3249" s="9"/>
      <c r="E3249" s="9"/>
      <c r="F3249" s="9"/>
      <c r="G3249" s="10"/>
      <c r="H3249" s="9"/>
      <c r="I3249" s="15"/>
      <c r="J3249" s="9"/>
      <c r="K3249" s="9"/>
      <c r="L3249" s="9"/>
      <c r="M3249" s="9"/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  <c r="Z3249" s="9"/>
      <c r="AA3249" s="9"/>
    </row>
    <row r="3250">
      <c r="A3250" s="9"/>
      <c r="B3250" s="9"/>
      <c r="C3250" s="9"/>
      <c r="D3250" s="9"/>
      <c r="E3250" s="9"/>
      <c r="F3250" s="9"/>
      <c r="G3250" s="10"/>
      <c r="H3250" s="9"/>
      <c r="I3250" s="15"/>
      <c r="J3250" s="9"/>
      <c r="K3250" s="9"/>
      <c r="L3250" s="9"/>
      <c r="M3250" s="9"/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  <c r="Z3250" s="9"/>
      <c r="AA3250" s="9"/>
    </row>
    <row r="3251">
      <c r="A3251" s="9"/>
      <c r="B3251" s="9"/>
      <c r="C3251" s="9"/>
      <c r="D3251" s="9"/>
      <c r="E3251" s="9"/>
      <c r="F3251" s="9"/>
      <c r="G3251" s="10"/>
      <c r="H3251" s="9"/>
      <c r="I3251" s="15"/>
      <c r="J3251" s="9"/>
      <c r="K3251" s="9"/>
      <c r="L3251" s="9"/>
      <c r="M3251" s="9"/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  <c r="Z3251" s="9"/>
      <c r="AA3251" s="9"/>
    </row>
    <row r="3252">
      <c r="A3252" s="9"/>
      <c r="B3252" s="9"/>
      <c r="C3252" s="9"/>
      <c r="D3252" s="9"/>
      <c r="E3252" s="9"/>
      <c r="F3252" s="9"/>
      <c r="G3252" s="10"/>
      <c r="H3252" s="9"/>
      <c r="I3252" s="15"/>
      <c r="J3252" s="9"/>
      <c r="K3252" s="9"/>
      <c r="L3252" s="9"/>
      <c r="M3252" s="9"/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  <c r="Z3252" s="9"/>
      <c r="AA3252" s="9"/>
    </row>
    <row r="3253">
      <c r="A3253" s="9"/>
      <c r="B3253" s="9"/>
      <c r="C3253" s="9"/>
      <c r="D3253" s="9"/>
      <c r="E3253" s="9"/>
      <c r="F3253" s="9"/>
      <c r="G3253" s="10"/>
      <c r="H3253" s="9"/>
      <c r="I3253" s="15"/>
      <c r="J3253" s="9"/>
      <c r="K3253" s="9"/>
      <c r="L3253" s="9"/>
      <c r="M3253" s="9"/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  <c r="Z3253" s="9"/>
      <c r="AA3253" s="9"/>
    </row>
    <row r="3254">
      <c r="A3254" s="9"/>
      <c r="B3254" s="9"/>
      <c r="C3254" s="9"/>
      <c r="D3254" s="9"/>
      <c r="E3254" s="9"/>
      <c r="F3254" s="9"/>
      <c r="G3254" s="10"/>
      <c r="H3254" s="9"/>
      <c r="I3254" s="15"/>
      <c r="J3254" s="9"/>
      <c r="K3254" s="9"/>
      <c r="L3254" s="9"/>
      <c r="M3254" s="9"/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  <c r="Z3254" s="9"/>
      <c r="AA3254" s="9"/>
    </row>
    <row r="3255">
      <c r="A3255" s="9"/>
      <c r="B3255" s="9"/>
      <c r="C3255" s="9"/>
      <c r="D3255" s="9"/>
      <c r="E3255" s="9"/>
      <c r="F3255" s="9"/>
      <c r="G3255" s="10"/>
      <c r="H3255" s="9"/>
      <c r="I3255" s="15"/>
      <c r="J3255" s="9"/>
      <c r="K3255" s="9"/>
      <c r="L3255" s="9"/>
      <c r="M3255" s="9"/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  <c r="Z3255" s="9"/>
      <c r="AA3255" s="9"/>
    </row>
    <row r="3256">
      <c r="A3256" s="9"/>
      <c r="B3256" s="9"/>
      <c r="C3256" s="9"/>
      <c r="D3256" s="9"/>
      <c r="E3256" s="9"/>
      <c r="F3256" s="9"/>
      <c r="G3256" s="10"/>
      <c r="H3256" s="9"/>
      <c r="I3256" s="15"/>
      <c r="J3256" s="9"/>
      <c r="K3256" s="9"/>
      <c r="L3256" s="9"/>
      <c r="M3256" s="9"/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/>
      <c r="Z3256" s="9"/>
      <c r="AA3256" s="9"/>
    </row>
    <row r="3257">
      <c r="A3257" s="9"/>
      <c r="B3257" s="9"/>
      <c r="C3257" s="9"/>
      <c r="D3257" s="9"/>
      <c r="E3257" s="9"/>
      <c r="F3257" s="9"/>
      <c r="G3257" s="10"/>
      <c r="H3257" s="9"/>
      <c r="I3257" s="15"/>
      <c r="J3257" s="9"/>
      <c r="K3257" s="9"/>
      <c r="L3257" s="9"/>
      <c r="M3257" s="9"/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/>
      <c r="Z3257" s="9"/>
      <c r="AA3257" s="9"/>
    </row>
    <row r="3258">
      <c r="A3258" s="9"/>
      <c r="B3258" s="9"/>
      <c r="C3258" s="9"/>
      <c r="D3258" s="9"/>
      <c r="E3258" s="9"/>
      <c r="F3258" s="9"/>
      <c r="G3258" s="10"/>
      <c r="H3258" s="9"/>
      <c r="I3258" s="15"/>
      <c r="J3258" s="9"/>
      <c r="K3258" s="9"/>
      <c r="L3258" s="9"/>
      <c r="M3258" s="9"/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/>
      <c r="Z3258" s="9"/>
      <c r="AA3258" s="9"/>
    </row>
    <row r="3259">
      <c r="A3259" s="9"/>
      <c r="B3259" s="9"/>
      <c r="C3259" s="9"/>
      <c r="D3259" s="9"/>
      <c r="E3259" s="9"/>
      <c r="F3259" s="9"/>
      <c r="G3259" s="10"/>
      <c r="H3259" s="9"/>
      <c r="I3259" s="15"/>
      <c r="J3259" s="9"/>
      <c r="K3259" s="9"/>
      <c r="L3259" s="9"/>
      <c r="M3259" s="9"/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/>
      <c r="Z3259" s="9"/>
      <c r="AA3259" s="9"/>
    </row>
    <row r="3260">
      <c r="A3260" s="9"/>
      <c r="B3260" s="9"/>
      <c r="C3260" s="9"/>
      <c r="D3260" s="9"/>
      <c r="E3260" s="9"/>
      <c r="F3260" s="9"/>
      <c r="G3260" s="10"/>
      <c r="H3260" s="9"/>
      <c r="I3260" s="15"/>
      <c r="J3260" s="9"/>
      <c r="K3260" s="9"/>
      <c r="L3260" s="9"/>
      <c r="M3260" s="9"/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/>
      <c r="Z3260" s="9"/>
      <c r="AA3260" s="9"/>
    </row>
    <row r="3261">
      <c r="A3261" s="9"/>
      <c r="B3261" s="9"/>
      <c r="C3261" s="9"/>
      <c r="D3261" s="9"/>
      <c r="E3261" s="9"/>
      <c r="F3261" s="9"/>
      <c r="G3261" s="10"/>
      <c r="H3261" s="9"/>
      <c r="I3261" s="15"/>
      <c r="J3261" s="9"/>
      <c r="K3261" s="9"/>
      <c r="L3261" s="9"/>
      <c r="M3261" s="9"/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/>
      <c r="Z3261" s="9"/>
      <c r="AA3261" s="9"/>
    </row>
    <row r="3262">
      <c r="A3262" s="9"/>
      <c r="B3262" s="9"/>
      <c r="C3262" s="9"/>
      <c r="D3262" s="9"/>
      <c r="E3262" s="9"/>
      <c r="F3262" s="9"/>
      <c r="G3262" s="10"/>
      <c r="H3262" s="9"/>
      <c r="I3262" s="15"/>
      <c r="J3262" s="9"/>
      <c r="K3262" s="9"/>
      <c r="L3262" s="9"/>
      <c r="M3262" s="9"/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/>
      <c r="Z3262" s="9"/>
      <c r="AA3262" s="9"/>
    </row>
    <row r="3263">
      <c r="A3263" s="9"/>
      <c r="B3263" s="9"/>
      <c r="C3263" s="9"/>
      <c r="D3263" s="9"/>
      <c r="E3263" s="9"/>
      <c r="F3263" s="9"/>
      <c r="G3263" s="10"/>
      <c r="H3263" s="9"/>
      <c r="I3263" s="15"/>
      <c r="J3263" s="9"/>
      <c r="K3263" s="9"/>
      <c r="L3263" s="9"/>
      <c r="M3263" s="9"/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/>
      <c r="Z3263" s="9"/>
      <c r="AA3263" s="9"/>
    </row>
    <row r="3264">
      <c r="A3264" s="9"/>
      <c r="B3264" s="9"/>
      <c r="C3264" s="9"/>
      <c r="D3264" s="9"/>
      <c r="E3264" s="9"/>
      <c r="F3264" s="9"/>
      <c r="G3264" s="10"/>
      <c r="H3264" s="9"/>
      <c r="I3264" s="15"/>
      <c r="J3264" s="9"/>
      <c r="K3264" s="9"/>
      <c r="L3264" s="9"/>
      <c r="M3264" s="9"/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/>
      <c r="Z3264" s="9"/>
      <c r="AA3264" s="9"/>
    </row>
    <row r="3265">
      <c r="A3265" s="9"/>
      <c r="B3265" s="9"/>
      <c r="C3265" s="9"/>
      <c r="D3265" s="9"/>
      <c r="E3265" s="9"/>
      <c r="F3265" s="9"/>
      <c r="G3265" s="10"/>
      <c r="H3265" s="9"/>
      <c r="I3265" s="15"/>
      <c r="J3265" s="9"/>
      <c r="K3265" s="9"/>
      <c r="L3265" s="9"/>
      <c r="M3265" s="9"/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/>
      <c r="Z3265" s="9"/>
      <c r="AA3265" s="9"/>
    </row>
    <row r="3266">
      <c r="A3266" s="9"/>
      <c r="B3266" s="9"/>
      <c r="C3266" s="9"/>
      <c r="D3266" s="9"/>
      <c r="E3266" s="9"/>
      <c r="F3266" s="9"/>
      <c r="G3266" s="10"/>
      <c r="H3266" s="9"/>
      <c r="I3266" s="15"/>
      <c r="J3266" s="9"/>
      <c r="K3266" s="9"/>
      <c r="L3266" s="9"/>
      <c r="M3266" s="9"/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/>
      <c r="Z3266" s="9"/>
      <c r="AA3266" s="9"/>
    </row>
    <row r="3267">
      <c r="A3267" s="9"/>
      <c r="B3267" s="9"/>
      <c r="C3267" s="9"/>
      <c r="D3267" s="9"/>
      <c r="E3267" s="9"/>
      <c r="F3267" s="9"/>
      <c r="G3267" s="10"/>
      <c r="H3267" s="9"/>
      <c r="I3267" s="15"/>
      <c r="J3267" s="9"/>
      <c r="K3267" s="9"/>
      <c r="L3267" s="9"/>
      <c r="M3267" s="9"/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/>
      <c r="Z3267" s="9"/>
      <c r="AA3267" s="9"/>
    </row>
    <row r="3268">
      <c r="A3268" s="9"/>
      <c r="B3268" s="9"/>
      <c r="C3268" s="9"/>
      <c r="D3268" s="9"/>
      <c r="E3268" s="9"/>
      <c r="F3268" s="9"/>
      <c r="G3268" s="10"/>
      <c r="H3268" s="9"/>
      <c r="I3268" s="15"/>
      <c r="J3268" s="9"/>
      <c r="K3268" s="9"/>
      <c r="L3268" s="9"/>
      <c r="M3268" s="9"/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/>
      <c r="Z3268" s="9"/>
      <c r="AA3268" s="9"/>
    </row>
    <row r="3269">
      <c r="A3269" s="9"/>
      <c r="B3269" s="9"/>
      <c r="C3269" s="9"/>
      <c r="D3269" s="9"/>
      <c r="E3269" s="9"/>
      <c r="F3269" s="9"/>
      <c r="G3269" s="10"/>
      <c r="H3269" s="9"/>
      <c r="I3269" s="15"/>
      <c r="J3269" s="9"/>
      <c r="K3269" s="9"/>
      <c r="L3269" s="9"/>
      <c r="M3269" s="9"/>
      <c r="N3269" s="9"/>
      <c r="O3269" s="9"/>
      <c r="P3269" s="9"/>
      <c r="Q3269" s="9"/>
      <c r="R3269" s="9"/>
      <c r="S3269" s="9"/>
      <c r="T3269" s="9"/>
      <c r="U3269" s="9"/>
      <c r="V3269" s="9"/>
      <c r="W3269" s="9"/>
      <c r="X3269" s="9"/>
      <c r="Y3269" s="9"/>
      <c r="Z3269" s="9"/>
      <c r="AA3269" s="9"/>
    </row>
    <row r="3270">
      <c r="A3270" s="9"/>
      <c r="B3270" s="9"/>
      <c r="C3270" s="9"/>
      <c r="D3270" s="9"/>
      <c r="E3270" s="9"/>
      <c r="F3270" s="9"/>
      <c r="G3270" s="10"/>
      <c r="H3270" s="9"/>
      <c r="I3270" s="15"/>
      <c r="J3270" s="9"/>
      <c r="K3270" s="9"/>
      <c r="L3270" s="9"/>
      <c r="M3270" s="9"/>
      <c r="N3270" s="9"/>
      <c r="O3270" s="9"/>
      <c r="P3270" s="9"/>
      <c r="Q3270" s="9"/>
      <c r="R3270" s="9"/>
      <c r="S3270" s="9"/>
      <c r="T3270" s="9"/>
      <c r="U3270" s="9"/>
      <c r="V3270" s="9"/>
      <c r="W3270" s="9"/>
      <c r="X3270" s="9"/>
      <c r="Y3270" s="9"/>
      <c r="Z3270" s="9"/>
      <c r="AA3270" s="9"/>
    </row>
    <row r="3271">
      <c r="A3271" s="9"/>
      <c r="B3271" s="9"/>
      <c r="C3271" s="9"/>
      <c r="D3271" s="9"/>
      <c r="E3271" s="9"/>
      <c r="F3271" s="9"/>
      <c r="G3271" s="10"/>
      <c r="H3271" s="9"/>
      <c r="I3271" s="15"/>
      <c r="J3271" s="9"/>
      <c r="K3271" s="9"/>
      <c r="L3271" s="9"/>
      <c r="M3271" s="9"/>
      <c r="N3271" s="9"/>
      <c r="O3271" s="9"/>
      <c r="P3271" s="9"/>
      <c r="Q3271" s="9"/>
      <c r="R3271" s="9"/>
      <c r="S3271" s="9"/>
      <c r="T3271" s="9"/>
      <c r="U3271" s="9"/>
      <c r="V3271" s="9"/>
      <c r="W3271" s="9"/>
      <c r="X3271" s="9"/>
      <c r="Y3271" s="9"/>
      <c r="Z3271" s="9"/>
      <c r="AA3271" s="9"/>
    </row>
    <row r="3272">
      <c r="A3272" s="9"/>
      <c r="B3272" s="9"/>
      <c r="C3272" s="9"/>
      <c r="D3272" s="9"/>
      <c r="E3272" s="9"/>
      <c r="F3272" s="9"/>
      <c r="G3272" s="10"/>
      <c r="H3272" s="9"/>
      <c r="I3272" s="15"/>
      <c r="J3272" s="9"/>
      <c r="K3272" s="9"/>
      <c r="L3272" s="9"/>
      <c r="M3272" s="9"/>
      <c r="N3272" s="9"/>
      <c r="O3272" s="9"/>
      <c r="P3272" s="9"/>
      <c r="Q3272" s="9"/>
      <c r="R3272" s="9"/>
      <c r="S3272" s="9"/>
      <c r="T3272" s="9"/>
      <c r="U3272" s="9"/>
      <c r="V3272" s="9"/>
      <c r="W3272" s="9"/>
      <c r="X3272" s="9"/>
      <c r="Y3272" s="9"/>
      <c r="Z3272" s="9"/>
      <c r="AA3272" s="9"/>
    </row>
    <row r="3273">
      <c r="A3273" s="9"/>
      <c r="B3273" s="9"/>
      <c r="C3273" s="9"/>
      <c r="D3273" s="9"/>
      <c r="E3273" s="9"/>
      <c r="F3273" s="9"/>
      <c r="G3273" s="10"/>
      <c r="H3273" s="9"/>
      <c r="I3273" s="15"/>
      <c r="J3273" s="9"/>
      <c r="K3273" s="9"/>
      <c r="L3273" s="9"/>
      <c r="M3273" s="9"/>
      <c r="N3273" s="9"/>
      <c r="O3273" s="9"/>
      <c r="P3273" s="9"/>
      <c r="Q3273" s="9"/>
      <c r="R3273" s="9"/>
      <c r="S3273" s="9"/>
      <c r="T3273" s="9"/>
      <c r="U3273" s="9"/>
      <c r="V3273" s="9"/>
      <c r="W3273" s="9"/>
      <c r="X3273" s="9"/>
      <c r="Y3273" s="9"/>
      <c r="Z3273" s="9"/>
      <c r="AA3273" s="9"/>
    </row>
    <row r="3274">
      <c r="A3274" s="9"/>
      <c r="B3274" s="9"/>
      <c r="C3274" s="9"/>
      <c r="D3274" s="9"/>
      <c r="E3274" s="9"/>
      <c r="F3274" s="9"/>
      <c r="G3274" s="10"/>
      <c r="H3274" s="9"/>
      <c r="I3274" s="15"/>
      <c r="J3274" s="9"/>
      <c r="K3274" s="9"/>
      <c r="L3274" s="9"/>
      <c r="M3274" s="9"/>
      <c r="N3274" s="9"/>
      <c r="O3274" s="9"/>
      <c r="P3274" s="9"/>
      <c r="Q3274" s="9"/>
      <c r="R3274" s="9"/>
      <c r="S3274" s="9"/>
      <c r="T3274" s="9"/>
      <c r="U3274" s="9"/>
      <c r="V3274" s="9"/>
      <c r="W3274" s="9"/>
      <c r="X3274" s="9"/>
      <c r="Y3274" s="9"/>
      <c r="Z3274" s="9"/>
      <c r="AA3274" s="9"/>
    </row>
    <row r="3275">
      <c r="A3275" s="9"/>
      <c r="B3275" s="9"/>
      <c r="C3275" s="9"/>
      <c r="D3275" s="9"/>
      <c r="E3275" s="9"/>
      <c r="F3275" s="9"/>
      <c r="G3275" s="10"/>
      <c r="H3275" s="9"/>
      <c r="I3275" s="15"/>
      <c r="J3275" s="9"/>
      <c r="K3275" s="9"/>
      <c r="L3275" s="9"/>
      <c r="M3275" s="9"/>
      <c r="N3275" s="9"/>
      <c r="O3275" s="9"/>
      <c r="P3275" s="9"/>
      <c r="Q3275" s="9"/>
      <c r="R3275" s="9"/>
      <c r="S3275" s="9"/>
      <c r="T3275" s="9"/>
      <c r="U3275" s="9"/>
      <c r="V3275" s="9"/>
      <c r="W3275" s="9"/>
      <c r="X3275" s="9"/>
      <c r="Y3275" s="9"/>
      <c r="Z3275" s="9"/>
      <c r="AA3275" s="9"/>
    </row>
    <row r="3276">
      <c r="A3276" s="9"/>
      <c r="B3276" s="9"/>
      <c r="C3276" s="9"/>
      <c r="D3276" s="9"/>
      <c r="E3276" s="9"/>
      <c r="F3276" s="9"/>
      <c r="G3276" s="10"/>
      <c r="H3276" s="9"/>
      <c r="I3276" s="15"/>
      <c r="J3276" s="9"/>
      <c r="K3276" s="9"/>
      <c r="L3276" s="9"/>
      <c r="M3276" s="9"/>
      <c r="N3276" s="9"/>
      <c r="O3276" s="9"/>
      <c r="P3276" s="9"/>
      <c r="Q3276" s="9"/>
      <c r="R3276" s="9"/>
      <c r="S3276" s="9"/>
      <c r="T3276" s="9"/>
      <c r="U3276" s="9"/>
      <c r="V3276" s="9"/>
      <c r="W3276" s="9"/>
      <c r="X3276" s="9"/>
      <c r="Y3276" s="9"/>
      <c r="Z3276" s="9"/>
      <c r="AA3276" s="9"/>
    </row>
    <row r="3277">
      <c r="A3277" s="9"/>
      <c r="B3277" s="9"/>
      <c r="C3277" s="9"/>
      <c r="D3277" s="9"/>
      <c r="E3277" s="9"/>
      <c r="F3277" s="9"/>
      <c r="G3277" s="10"/>
      <c r="H3277" s="9"/>
      <c r="I3277" s="15"/>
      <c r="J3277" s="9"/>
      <c r="K3277" s="9"/>
      <c r="L3277" s="9"/>
      <c r="M3277" s="9"/>
      <c r="N3277" s="9"/>
      <c r="O3277" s="9"/>
      <c r="P3277" s="9"/>
      <c r="Q3277" s="9"/>
      <c r="R3277" s="9"/>
      <c r="S3277" s="9"/>
      <c r="T3277" s="9"/>
      <c r="U3277" s="9"/>
      <c r="V3277" s="9"/>
      <c r="W3277" s="9"/>
      <c r="X3277" s="9"/>
      <c r="Y3277" s="9"/>
      <c r="Z3277" s="9"/>
      <c r="AA3277" s="9"/>
    </row>
    <row r="3278">
      <c r="A3278" s="9"/>
      <c r="B3278" s="9"/>
      <c r="C3278" s="9"/>
      <c r="D3278" s="9"/>
      <c r="E3278" s="9"/>
      <c r="F3278" s="9"/>
      <c r="G3278" s="10"/>
      <c r="H3278" s="9"/>
      <c r="I3278" s="15"/>
      <c r="J3278" s="9"/>
      <c r="K3278" s="9"/>
      <c r="L3278" s="9"/>
      <c r="M3278" s="9"/>
      <c r="N3278" s="9"/>
      <c r="O3278" s="9"/>
      <c r="P3278" s="9"/>
      <c r="Q3278" s="9"/>
      <c r="R3278" s="9"/>
      <c r="S3278" s="9"/>
      <c r="T3278" s="9"/>
      <c r="U3278" s="9"/>
      <c r="V3278" s="9"/>
      <c r="W3278" s="9"/>
      <c r="X3278" s="9"/>
      <c r="Y3278" s="9"/>
      <c r="Z3278" s="9"/>
      <c r="AA3278" s="9"/>
    </row>
    <row r="3279">
      <c r="A3279" s="9"/>
      <c r="B3279" s="9"/>
      <c r="C3279" s="9"/>
      <c r="D3279" s="9"/>
      <c r="E3279" s="9"/>
      <c r="F3279" s="9"/>
      <c r="G3279" s="10"/>
      <c r="H3279" s="9"/>
      <c r="I3279" s="15"/>
      <c r="J3279" s="9"/>
      <c r="K3279" s="9"/>
      <c r="L3279" s="9"/>
      <c r="M3279" s="9"/>
      <c r="N3279" s="9"/>
      <c r="O3279" s="9"/>
      <c r="P3279" s="9"/>
      <c r="Q3279" s="9"/>
      <c r="R3279" s="9"/>
      <c r="S3279" s="9"/>
      <c r="T3279" s="9"/>
      <c r="U3279" s="9"/>
      <c r="V3279" s="9"/>
      <c r="W3279" s="9"/>
      <c r="X3279" s="9"/>
      <c r="Y3279" s="9"/>
      <c r="Z3279" s="9"/>
      <c r="AA3279" s="9"/>
    </row>
    <row r="3280">
      <c r="A3280" s="9"/>
      <c r="B3280" s="9"/>
      <c r="C3280" s="9"/>
      <c r="D3280" s="9"/>
      <c r="E3280" s="9"/>
      <c r="F3280" s="9"/>
      <c r="G3280" s="10"/>
      <c r="H3280" s="9"/>
      <c r="I3280" s="15"/>
      <c r="J3280" s="9"/>
      <c r="K3280" s="9"/>
      <c r="L3280" s="9"/>
      <c r="M3280" s="9"/>
      <c r="N3280" s="9"/>
      <c r="O3280" s="9"/>
      <c r="P3280" s="9"/>
      <c r="Q3280" s="9"/>
      <c r="R3280" s="9"/>
      <c r="S3280" s="9"/>
      <c r="T3280" s="9"/>
      <c r="U3280" s="9"/>
      <c r="V3280" s="9"/>
      <c r="W3280" s="9"/>
      <c r="X3280" s="9"/>
      <c r="Y3280" s="9"/>
      <c r="Z3280" s="9"/>
      <c r="AA3280" s="9"/>
    </row>
    <row r="3281">
      <c r="A3281" s="9"/>
      <c r="B3281" s="9"/>
      <c r="C3281" s="9"/>
      <c r="D3281" s="9"/>
      <c r="E3281" s="9"/>
      <c r="F3281" s="9"/>
      <c r="G3281" s="10"/>
      <c r="H3281" s="9"/>
      <c r="I3281" s="15"/>
      <c r="J3281" s="9"/>
      <c r="K3281" s="9"/>
      <c r="L3281" s="9"/>
      <c r="M3281" s="9"/>
      <c r="N3281" s="9"/>
      <c r="O3281" s="9"/>
      <c r="P3281" s="9"/>
      <c r="Q3281" s="9"/>
      <c r="R3281" s="9"/>
      <c r="S3281" s="9"/>
      <c r="T3281" s="9"/>
      <c r="U3281" s="9"/>
      <c r="V3281" s="9"/>
      <c r="W3281" s="9"/>
      <c r="X3281" s="9"/>
      <c r="Y3281" s="9"/>
      <c r="Z3281" s="9"/>
      <c r="AA3281" s="9"/>
    </row>
    <row r="3282">
      <c r="A3282" s="9"/>
      <c r="B3282" s="9"/>
      <c r="C3282" s="9"/>
      <c r="D3282" s="9"/>
      <c r="E3282" s="9"/>
      <c r="F3282" s="9"/>
      <c r="G3282" s="10"/>
      <c r="H3282" s="9"/>
      <c r="I3282" s="15"/>
      <c r="J3282" s="9"/>
      <c r="K3282" s="9"/>
      <c r="L3282" s="9"/>
      <c r="M3282" s="9"/>
      <c r="N3282" s="9"/>
      <c r="O3282" s="9"/>
      <c r="P3282" s="9"/>
      <c r="Q3282" s="9"/>
      <c r="R3282" s="9"/>
      <c r="S3282" s="9"/>
      <c r="T3282" s="9"/>
      <c r="U3282" s="9"/>
      <c r="V3282" s="9"/>
      <c r="W3282" s="9"/>
      <c r="X3282" s="9"/>
      <c r="Y3282" s="9"/>
      <c r="Z3282" s="9"/>
      <c r="AA3282" s="9"/>
    </row>
    <row r="3283">
      <c r="A3283" s="9"/>
      <c r="B3283" s="9"/>
      <c r="C3283" s="9"/>
      <c r="D3283" s="9"/>
      <c r="E3283" s="9"/>
      <c r="F3283" s="9"/>
      <c r="G3283" s="10"/>
      <c r="H3283" s="9"/>
      <c r="I3283" s="15"/>
      <c r="J3283" s="9"/>
      <c r="K3283" s="9"/>
      <c r="L3283" s="9"/>
      <c r="M3283" s="9"/>
      <c r="N3283" s="9"/>
      <c r="O3283" s="9"/>
      <c r="P3283" s="9"/>
      <c r="Q3283" s="9"/>
      <c r="R3283" s="9"/>
      <c r="S3283" s="9"/>
      <c r="T3283" s="9"/>
      <c r="U3283" s="9"/>
      <c r="V3283" s="9"/>
      <c r="W3283" s="9"/>
      <c r="X3283" s="9"/>
      <c r="Y3283" s="9"/>
      <c r="Z3283" s="9"/>
      <c r="AA3283" s="9"/>
    </row>
    <row r="3284">
      <c r="A3284" s="9"/>
      <c r="B3284" s="9"/>
      <c r="C3284" s="9"/>
      <c r="D3284" s="9"/>
      <c r="E3284" s="9"/>
      <c r="F3284" s="9"/>
      <c r="G3284" s="10"/>
      <c r="H3284" s="9"/>
      <c r="I3284" s="15"/>
      <c r="J3284" s="9"/>
      <c r="K3284" s="9"/>
      <c r="L3284" s="9"/>
      <c r="M3284" s="9"/>
      <c r="N3284" s="9"/>
      <c r="O3284" s="9"/>
      <c r="P3284" s="9"/>
      <c r="Q3284" s="9"/>
      <c r="R3284" s="9"/>
      <c r="S3284" s="9"/>
      <c r="T3284" s="9"/>
      <c r="U3284" s="9"/>
      <c r="V3284" s="9"/>
      <c r="W3284" s="9"/>
      <c r="X3284" s="9"/>
      <c r="Y3284" s="9"/>
      <c r="Z3284" s="9"/>
      <c r="AA3284" s="9"/>
    </row>
    <row r="3285">
      <c r="A3285" s="9"/>
      <c r="B3285" s="9"/>
      <c r="C3285" s="9"/>
      <c r="D3285" s="9"/>
      <c r="E3285" s="9"/>
      <c r="F3285" s="9"/>
      <c r="G3285" s="10"/>
      <c r="H3285" s="9"/>
      <c r="I3285" s="15"/>
      <c r="J3285" s="9"/>
      <c r="K3285" s="9"/>
      <c r="L3285" s="9"/>
      <c r="M3285" s="9"/>
      <c r="N3285" s="9"/>
      <c r="O3285" s="9"/>
      <c r="P3285" s="9"/>
      <c r="Q3285" s="9"/>
      <c r="R3285" s="9"/>
      <c r="S3285" s="9"/>
      <c r="T3285" s="9"/>
      <c r="U3285" s="9"/>
      <c r="V3285" s="9"/>
      <c r="W3285" s="9"/>
      <c r="X3285" s="9"/>
      <c r="Y3285" s="9"/>
      <c r="Z3285" s="9"/>
      <c r="AA3285" s="9"/>
    </row>
    <row r="3286">
      <c r="A3286" s="9"/>
      <c r="B3286" s="9"/>
      <c r="C3286" s="9"/>
      <c r="D3286" s="9"/>
      <c r="E3286" s="9"/>
      <c r="F3286" s="9"/>
      <c r="G3286" s="10"/>
      <c r="H3286" s="9"/>
      <c r="I3286" s="15"/>
      <c r="J3286" s="9"/>
      <c r="K3286" s="9"/>
      <c r="L3286" s="9"/>
      <c r="M3286" s="9"/>
      <c r="N3286" s="9"/>
      <c r="O3286" s="9"/>
      <c r="P3286" s="9"/>
      <c r="Q3286" s="9"/>
      <c r="R3286" s="9"/>
      <c r="S3286" s="9"/>
      <c r="T3286" s="9"/>
      <c r="U3286" s="9"/>
      <c r="V3286" s="9"/>
      <c r="W3286" s="9"/>
      <c r="X3286" s="9"/>
      <c r="Y3286" s="9"/>
      <c r="Z3286" s="9"/>
      <c r="AA3286" s="9"/>
    </row>
    <row r="3287">
      <c r="A3287" s="9"/>
      <c r="B3287" s="9"/>
      <c r="C3287" s="9"/>
      <c r="D3287" s="9"/>
      <c r="E3287" s="9"/>
      <c r="F3287" s="9"/>
      <c r="G3287" s="10"/>
      <c r="H3287" s="9"/>
      <c r="I3287" s="15"/>
      <c r="J3287" s="9"/>
      <c r="K3287" s="9"/>
      <c r="L3287" s="9"/>
      <c r="M3287" s="9"/>
      <c r="N3287" s="9"/>
      <c r="O3287" s="9"/>
      <c r="P3287" s="9"/>
      <c r="Q3287" s="9"/>
      <c r="R3287" s="9"/>
      <c r="S3287" s="9"/>
      <c r="T3287" s="9"/>
      <c r="U3287" s="9"/>
      <c r="V3287" s="9"/>
      <c r="W3287" s="9"/>
      <c r="X3287" s="9"/>
      <c r="Y3287" s="9"/>
      <c r="Z3287" s="9"/>
      <c r="AA3287" s="9"/>
    </row>
    <row r="3288">
      <c r="A3288" s="9"/>
      <c r="B3288" s="9"/>
      <c r="C3288" s="9"/>
      <c r="D3288" s="9"/>
      <c r="E3288" s="9"/>
      <c r="F3288" s="9"/>
      <c r="G3288" s="10"/>
      <c r="H3288" s="9"/>
      <c r="I3288" s="15"/>
      <c r="J3288" s="9"/>
      <c r="K3288" s="9"/>
      <c r="L3288" s="9"/>
      <c r="M3288" s="9"/>
      <c r="N3288" s="9"/>
      <c r="O3288" s="9"/>
      <c r="P3288" s="9"/>
      <c r="Q3288" s="9"/>
      <c r="R3288" s="9"/>
      <c r="S3288" s="9"/>
      <c r="T3288" s="9"/>
      <c r="U3288" s="9"/>
      <c r="V3288" s="9"/>
      <c r="W3288" s="9"/>
      <c r="X3288" s="9"/>
      <c r="Y3288" s="9"/>
      <c r="Z3288" s="9"/>
      <c r="AA3288" s="9"/>
    </row>
    <row r="3289">
      <c r="A3289" s="9"/>
      <c r="B3289" s="9"/>
      <c r="C3289" s="9"/>
      <c r="D3289" s="9"/>
      <c r="E3289" s="9"/>
      <c r="F3289" s="9"/>
      <c r="G3289" s="10"/>
      <c r="H3289" s="9"/>
      <c r="I3289" s="15"/>
      <c r="J3289" s="9"/>
      <c r="K3289" s="9"/>
      <c r="L3289" s="9"/>
      <c r="M3289" s="9"/>
      <c r="N3289" s="9"/>
      <c r="O3289" s="9"/>
      <c r="P3289" s="9"/>
      <c r="Q3289" s="9"/>
      <c r="R3289" s="9"/>
      <c r="S3289" s="9"/>
      <c r="T3289" s="9"/>
      <c r="U3289" s="9"/>
      <c r="V3289" s="9"/>
      <c r="W3289" s="9"/>
      <c r="X3289" s="9"/>
      <c r="Y3289" s="9"/>
      <c r="Z3289" s="9"/>
      <c r="AA3289" s="9"/>
    </row>
    <row r="3290">
      <c r="A3290" s="9"/>
      <c r="B3290" s="9"/>
      <c r="C3290" s="9"/>
      <c r="D3290" s="9"/>
      <c r="E3290" s="9"/>
      <c r="F3290" s="9"/>
      <c r="G3290" s="10"/>
      <c r="H3290" s="9"/>
      <c r="I3290" s="15"/>
      <c r="J3290" s="9"/>
      <c r="K3290" s="9"/>
      <c r="L3290" s="9"/>
      <c r="M3290" s="9"/>
      <c r="N3290" s="9"/>
      <c r="O3290" s="9"/>
      <c r="P3290" s="9"/>
      <c r="Q3290" s="9"/>
      <c r="R3290" s="9"/>
      <c r="S3290" s="9"/>
      <c r="T3290" s="9"/>
      <c r="U3290" s="9"/>
      <c r="V3290" s="9"/>
      <c r="W3290" s="9"/>
      <c r="X3290" s="9"/>
      <c r="Y3290" s="9"/>
      <c r="Z3290" s="9"/>
      <c r="AA3290" s="9"/>
    </row>
    <row r="3291">
      <c r="A3291" s="9"/>
      <c r="B3291" s="9"/>
      <c r="C3291" s="9"/>
      <c r="D3291" s="9"/>
      <c r="E3291" s="9"/>
      <c r="F3291" s="9"/>
      <c r="G3291" s="10"/>
      <c r="H3291" s="9"/>
      <c r="I3291" s="15"/>
      <c r="J3291" s="9"/>
      <c r="K3291" s="9"/>
      <c r="L3291" s="9"/>
      <c r="M3291" s="9"/>
      <c r="N3291" s="9"/>
      <c r="O3291" s="9"/>
      <c r="P3291" s="9"/>
      <c r="Q3291" s="9"/>
      <c r="R3291" s="9"/>
      <c r="S3291" s="9"/>
      <c r="T3291" s="9"/>
      <c r="U3291" s="9"/>
      <c r="V3291" s="9"/>
      <c r="W3291" s="9"/>
      <c r="X3291" s="9"/>
      <c r="Y3291" s="9"/>
      <c r="Z3291" s="9"/>
      <c r="AA3291" s="9"/>
    </row>
    <row r="3292">
      <c r="A3292" s="9"/>
      <c r="B3292" s="9"/>
      <c r="C3292" s="9"/>
      <c r="D3292" s="9"/>
      <c r="E3292" s="9"/>
      <c r="F3292" s="9"/>
      <c r="G3292" s="10"/>
      <c r="H3292" s="9"/>
      <c r="I3292" s="15"/>
      <c r="J3292" s="9"/>
      <c r="K3292" s="9"/>
      <c r="L3292" s="9"/>
      <c r="M3292" s="9"/>
      <c r="N3292" s="9"/>
      <c r="O3292" s="9"/>
      <c r="P3292" s="9"/>
      <c r="Q3292" s="9"/>
      <c r="R3292" s="9"/>
      <c r="S3292" s="9"/>
      <c r="T3292" s="9"/>
      <c r="U3292" s="9"/>
      <c r="V3292" s="9"/>
      <c r="W3292" s="9"/>
      <c r="X3292" s="9"/>
      <c r="Y3292" s="9"/>
      <c r="Z3292" s="9"/>
      <c r="AA3292" s="9"/>
    </row>
    <row r="3293">
      <c r="A3293" s="9"/>
      <c r="B3293" s="9"/>
      <c r="C3293" s="9"/>
      <c r="D3293" s="9"/>
      <c r="E3293" s="9"/>
      <c r="F3293" s="9"/>
      <c r="G3293" s="10"/>
      <c r="H3293" s="9"/>
      <c r="I3293" s="15"/>
      <c r="J3293" s="9"/>
      <c r="K3293" s="9"/>
      <c r="L3293" s="9"/>
      <c r="M3293" s="9"/>
      <c r="N3293" s="9"/>
      <c r="O3293" s="9"/>
      <c r="P3293" s="9"/>
      <c r="Q3293" s="9"/>
      <c r="R3293" s="9"/>
      <c r="S3293" s="9"/>
      <c r="T3293" s="9"/>
      <c r="U3293" s="9"/>
      <c r="V3293" s="9"/>
      <c r="W3293" s="9"/>
      <c r="X3293" s="9"/>
      <c r="Y3293" s="9"/>
      <c r="Z3293" s="9"/>
      <c r="AA3293" s="9"/>
    </row>
    <row r="3294">
      <c r="A3294" s="9"/>
      <c r="B3294" s="9"/>
      <c r="C3294" s="9"/>
      <c r="D3294" s="9"/>
      <c r="E3294" s="9"/>
      <c r="F3294" s="9"/>
      <c r="G3294" s="10"/>
      <c r="H3294" s="9"/>
      <c r="I3294" s="15"/>
      <c r="J3294" s="9"/>
      <c r="K3294" s="9"/>
      <c r="L3294" s="9"/>
      <c r="M3294" s="9"/>
      <c r="N3294" s="9"/>
      <c r="O3294" s="9"/>
      <c r="P3294" s="9"/>
      <c r="Q3294" s="9"/>
      <c r="R3294" s="9"/>
      <c r="S3294" s="9"/>
      <c r="T3294" s="9"/>
      <c r="U3294" s="9"/>
      <c r="V3294" s="9"/>
      <c r="W3294" s="9"/>
      <c r="X3294" s="9"/>
      <c r="Y3294" s="9"/>
      <c r="Z3294" s="9"/>
      <c r="AA3294" s="9"/>
    </row>
    <row r="3295">
      <c r="A3295" s="9"/>
      <c r="B3295" s="9"/>
      <c r="C3295" s="9"/>
      <c r="D3295" s="9"/>
      <c r="E3295" s="9"/>
      <c r="F3295" s="9"/>
      <c r="G3295" s="10"/>
      <c r="H3295" s="9"/>
      <c r="I3295" s="15"/>
      <c r="J3295" s="9"/>
      <c r="K3295" s="9"/>
      <c r="L3295" s="9"/>
      <c r="M3295" s="9"/>
      <c r="N3295" s="9"/>
      <c r="O3295" s="9"/>
      <c r="P3295" s="9"/>
      <c r="Q3295" s="9"/>
      <c r="R3295" s="9"/>
      <c r="S3295" s="9"/>
      <c r="T3295" s="9"/>
      <c r="U3295" s="9"/>
      <c r="V3295" s="9"/>
      <c r="W3295" s="9"/>
      <c r="X3295" s="9"/>
      <c r="Y3295" s="9"/>
      <c r="Z3295" s="9"/>
      <c r="AA3295" s="9"/>
    </row>
    <row r="3296">
      <c r="A3296" s="9"/>
      <c r="B3296" s="9"/>
      <c r="C3296" s="9"/>
      <c r="D3296" s="9"/>
      <c r="E3296" s="9"/>
      <c r="F3296" s="9"/>
      <c r="G3296" s="10"/>
      <c r="H3296" s="9"/>
      <c r="I3296" s="15"/>
      <c r="J3296" s="9"/>
      <c r="K3296" s="9"/>
      <c r="L3296" s="9"/>
      <c r="M3296" s="9"/>
      <c r="N3296" s="9"/>
      <c r="O3296" s="9"/>
      <c r="P3296" s="9"/>
      <c r="Q3296" s="9"/>
      <c r="R3296" s="9"/>
      <c r="S3296" s="9"/>
      <c r="T3296" s="9"/>
      <c r="U3296" s="9"/>
      <c r="V3296" s="9"/>
      <c r="W3296" s="9"/>
      <c r="X3296" s="9"/>
      <c r="Y3296" s="9"/>
      <c r="Z3296" s="9"/>
      <c r="AA3296" s="9"/>
    </row>
    <row r="3297">
      <c r="A3297" s="9"/>
      <c r="B3297" s="9"/>
      <c r="C3297" s="9"/>
      <c r="D3297" s="9"/>
      <c r="E3297" s="9"/>
      <c r="F3297" s="9"/>
      <c r="G3297" s="10"/>
      <c r="H3297" s="9"/>
      <c r="I3297" s="15"/>
      <c r="J3297" s="9"/>
      <c r="K3297" s="9"/>
      <c r="L3297" s="9"/>
      <c r="M3297" s="9"/>
      <c r="N3297" s="9"/>
      <c r="O3297" s="9"/>
      <c r="P3297" s="9"/>
      <c r="Q3297" s="9"/>
      <c r="R3297" s="9"/>
      <c r="S3297" s="9"/>
      <c r="T3297" s="9"/>
      <c r="U3297" s="9"/>
      <c r="V3297" s="9"/>
      <c r="W3297" s="9"/>
      <c r="X3297" s="9"/>
      <c r="Y3297" s="9"/>
      <c r="Z3297" s="9"/>
      <c r="AA3297" s="9"/>
    </row>
    <row r="3298">
      <c r="A3298" s="9"/>
      <c r="B3298" s="9"/>
      <c r="C3298" s="9"/>
      <c r="D3298" s="9"/>
      <c r="E3298" s="9"/>
      <c r="F3298" s="9"/>
      <c r="G3298" s="10"/>
      <c r="H3298" s="9"/>
      <c r="I3298" s="15"/>
      <c r="J3298" s="9"/>
      <c r="K3298" s="9"/>
      <c r="L3298" s="9"/>
      <c r="M3298" s="9"/>
      <c r="N3298" s="9"/>
      <c r="O3298" s="9"/>
      <c r="P3298" s="9"/>
      <c r="Q3298" s="9"/>
      <c r="R3298" s="9"/>
      <c r="S3298" s="9"/>
      <c r="T3298" s="9"/>
      <c r="U3298" s="9"/>
      <c r="V3298" s="9"/>
      <c r="W3298" s="9"/>
      <c r="X3298" s="9"/>
      <c r="Y3298" s="9"/>
      <c r="Z3298" s="9"/>
      <c r="AA3298" s="9"/>
    </row>
    <row r="3299">
      <c r="A3299" s="9"/>
      <c r="B3299" s="9"/>
      <c r="C3299" s="9"/>
      <c r="D3299" s="9"/>
      <c r="E3299" s="9"/>
      <c r="F3299" s="9"/>
      <c r="G3299" s="10"/>
      <c r="H3299" s="9"/>
      <c r="I3299" s="15"/>
      <c r="J3299" s="9"/>
      <c r="K3299" s="9"/>
      <c r="L3299" s="9"/>
      <c r="M3299" s="9"/>
      <c r="N3299" s="9"/>
      <c r="O3299" s="9"/>
      <c r="P3299" s="9"/>
      <c r="Q3299" s="9"/>
      <c r="R3299" s="9"/>
      <c r="S3299" s="9"/>
      <c r="T3299" s="9"/>
      <c r="U3299" s="9"/>
      <c r="V3299" s="9"/>
      <c r="W3299" s="9"/>
      <c r="X3299" s="9"/>
      <c r="Y3299" s="9"/>
      <c r="Z3299" s="9"/>
      <c r="AA3299" s="9"/>
    </row>
    <row r="3300">
      <c r="A3300" s="9"/>
      <c r="B3300" s="9"/>
      <c r="C3300" s="9"/>
      <c r="D3300" s="9"/>
      <c r="E3300" s="9"/>
      <c r="F3300" s="9"/>
      <c r="G3300" s="10"/>
      <c r="H3300" s="9"/>
      <c r="I3300" s="15"/>
      <c r="J3300" s="9"/>
      <c r="K3300" s="9"/>
      <c r="L3300" s="9"/>
      <c r="M3300" s="9"/>
      <c r="N3300" s="9"/>
      <c r="O3300" s="9"/>
      <c r="P3300" s="9"/>
      <c r="Q3300" s="9"/>
      <c r="R3300" s="9"/>
      <c r="S3300" s="9"/>
      <c r="T3300" s="9"/>
      <c r="U3300" s="9"/>
      <c r="V3300" s="9"/>
      <c r="W3300" s="9"/>
      <c r="X3300" s="9"/>
      <c r="Y3300" s="9"/>
      <c r="Z3300" s="9"/>
      <c r="AA3300" s="9"/>
    </row>
    <row r="3301">
      <c r="A3301" s="9"/>
      <c r="B3301" s="9"/>
      <c r="C3301" s="9"/>
      <c r="D3301" s="9"/>
      <c r="E3301" s="9"/>
      <c r="F3301" s="9"/>
      <c r="G3301" s="10"/>
      <c r="H3301" s="9"/>
      <c r="I3301" s="15"/>
      <c r="J3301" s="9"/>
      <c r="K3301" s="9"/>
      <c r="L3301" s="9"/>
      <c r="M3301" s="9"/>
      <c r="N3301" s="9"/>
      <c r="O3301" s="9"/>
      <c r="P3301" s="9"/>
      <c r="Q3301" s="9"/>
      <c r="R3301" s="9"/>
      <c r="S3301" s="9"/>
      <c r="T3301" s="9"/>
      <c r="U3301" s="9"/>
      <c r="V3301" s="9"/>
      <c r="W3301" s="9"/>
      <c r="X3301" s="9"/>
      <c r="Y3301" s="9"/>
      <c r="Z3301" s="9"/>
      <c r="AA3301" s="9"/>
    </row>
    <row r="3302">
      <c r="A3302" s="9"/>
      <c r="B3302" s="9"/>
      <c r="C3302" s="9"/>
      <c r="D3302" s="9"/>
      <c r="E3302" s="9"/>
      <c r="F3302" s="9"/>
      <c r="G3302" s="10"/>
      <c r="H3302" s="9"/>
      <c r="I3302" s="15"/>
      <c r="J3302" s="9"/>
      <c r="K3302" s="9"/>
      <c r="L3302" s="9"/>
      <c r="M3302" s="9"/>
      <c r="N3302" s="9"/>
      <c r="O3302" s="9"/>
      <c r="P3302" s="9"/>
      <c r="Q3302" s="9"/>
      <c r="R3302" s="9"/>
      <c r="S3302" s="9"/>
      <c r="T3302" s="9"/>
      <c r="U3302" s="9"/>
      <c r="V3302" s="9"/>
      <c r="W3302" s="9"/>
      <c r="X3302" s="9"/>
      <c r="Y3302" s="9"/>
      <c r="Z3302" s="9"/>
      <c r="AA3302" s="9"/>
    </row>
    <row r="3303">
      <c r="A3303" s="9"/>
      <c r="B3303" s="9"/>
      <c r="C3303" s="9"/>
      <c r="D3303" s="9"/>
      <c r="E3303" s="9"/>
      <c r="F3303" s="9"/>
      <c r="G3303" s="10"/>
      <c r="H3303" s="9"/>
      <c r="I3303" s="15"/>
      <c r="J3303" s="9"/>
      <c r="K3303" s="9"/>
      <c r="L3303" s="9"/>
      <c r="M3303" s="9"/>
      <c r="N3303" s="9"/>
      <c r="O3303" s="9"/>
      <c r="P3303" s="9"/>
      <c r="Q3303" s="9"/>
      <c r="R3303" s="9"/>
      <c r="S3303" s="9"/>
      <c r="T3303" s="9"/>
      <c r="U3303" s="9"/>
      <c r="V3303" s="9"/>
      <c r="W3303" s="9"/>
      <c r="X3303" s="9"/>
      <c r="Y3303" s="9"/>
      <c r="Z3303" s="9"/>
      <c r="AA3303" s="9"/>
    </row>
    <row r="3304">
      <c r="A3304" s="9"/>
      <c r="B3304" s="9"/>
      <c r="C3304" s="9"/>
      <c r="D3304" s="9"/>
      <c r="E3304" s="9"/>
      <c r="F3304" s="9"/>
      <c r="G3304" s="10"/>
      <c r="H3304" s="9"/>
      <c r="I3304" s="15"/>
      <c r="J3304" s="9"/>
      <c r="K3304" s="9"/>
      <c r="L3304" s="9"/>
      <c r="M3304" s="9"/>
      <c r="N3304" s="9"/>
      <c r="O3304" s="9"/>
      <c r="P3304" s="9"/>
      <c r="Q3304" s="9"/>
      <c r="R3304" s="9"/>
      <c r="S3304" s="9"/>
      <c r="T3304" s="9"/>
      <c r="U3304" s="9"/>
      <c r="V3304" s="9"/>
      <c r="W3304" s="9"/>
      <c r="X3304" s="9"/>
      <c r="Y3304" s="9"/>
      <c r="Z3304" s="9"/>
      <c r="AA3304" s="9"/>
    </row>
    <row r="3305">
      <c r="A3305" s="9"/>
      <c r="B3305" s="9"/>
      <c r="C3305" s="9"/>
      <c r="D3305" s="9"/>
      <c r="E3305" s="9"/>
      <c r="F3305" s="9"/>
      <c r="G3305" s="10"/>
      <c r="H3305" s="9"/>
      <c r="I3305" s="15"/>
      <c r="J3305" s="9"/>
      <c r="K3305" s="9"/>
      <c r="L3305" s="9"/>
      <c r="M3305" s="9"/>
      <c r="N3305" s="9"/>
      <c r="O3305" s="9"/>
      <c r="P3305" s="9"/>
      <c r="Q3305" s="9"/>
      <c r="R3305" s="9"/>
      <c r="S3305" s="9"/>
      <c r="T3305" s="9"/>
      <c r="U3305" s="9"/>
      <c r="V3305" s="9"/>
      <c r="W3305" s="9"/>
      <c r="X3305" s="9"/>
      <c r="Y3305" s="9"/>
      <c r="Z3305" s="9"/>
      <c r="AA3305" s="9"/>
    </row>
    <row r="3306">
      <c r="A3306" s="9"/>
      <c r="B3306" s="9"/>
      <c r="C3306" s="9"/>
      <c r="D3306" s="9"/>
      <c r="E3306" s="9"/>
      <c r="F3306" s="9"/>
      <c r="G3306" s="10"/>
      <c r="H3306" s="9"/>
      <c r="I3306" s="15"/>
      <c r="J3306" s="9"/>
      <c r="K3306" s="9"/>
      <c r="L3306" s="9"/>
      <c r="M3306" s="9"/>
      <c r="N3306" s="9"/>
      <c r="O3306" s="9"/>
      <c r="P3306" s="9"/>
      <c r="Q3306" s="9"/>
      <c r="R3306" s="9"/>
      <c r="S3306" s="9"/>
      <c r="T3306" s="9"/>
      <c r="U3306" s="9"/>
      <c r="V3306" s="9"/>
      <c r="W3306" s="9"/>
      <c r="X3306" s="9"/>
      <c r="Y3306" s="9"/>
      <c r="Z3306" s="9"/>
      <c r="AA3306" s="9"/>
    </row>
    <row r="3307">
      <c r="A3307" s="9"/>
      <c r="B3307" s="9"/>
      <c r="C3307" s="9"/>
      <c r="D3307" s="9"/>
      <c r="E3307" s="9"/>
      <c r="F3307" s="9"/>
      <c r="G3307" s="10"/>
      <c r="H3307" s="9"/>
      <c r="I3307" s="15"/>
      <c r="J3307" s="9"/>
      <c r="K3307" s="9"/>
      <c r="L3307" s="9"/>
      <c r="M3307" s="9"/>
      <c r="N3307" s="9"/>
      <c r="O3307" s="9"/>
      <c r="P3307" s="9"/>
      <c r="Q3307" s="9"/>
      <c r="R3307" s="9"/>
      <c r="S3307" s="9"/>
      <c r="T3307" s="9"/>
      <c r="U3307" s="9"/>
      <c r="V3307" s="9"/>
      <c r="W3307" s="9"/>
      <c r="X3307" s="9"/>
      <c r="Y3307" s="9"/>
      <c r="Z3307" s="9"/>
      <c r="AA3307" s="9"/>
    </row>
    <row r="3308">
      <c r="A3308" s="9"/>
      <c r="B3308" s="9"/>
      <c r="C3308" s="9"/>
      <c r="D3308" s="9"/>
      <c r="E3308" s="9"/>
      <c r="F3308" s="9"/>
      <c r="G3308" s="10"/>
      <c r="H3308" s="9"/>
      <c r="I3308" s="15"/>
      <c r="J3308" s="9"/>
      <c r="K3308" s="9"/>
      <c r="L3308" s="9"/>
      <c r="M3308" s="9"/>
      <c r="N3308" s="9"/>
      <c r="O3308" s="9"/>
      <c r="P3308" s="9"/>
      <c r="Q3308" s="9"/>
      <c r="R3308" s="9"/>
      <c r="S3308" s="9"/>
      <c r="T3308" s="9"/>
      <c r="U3308" s="9"/>
      <c r="V3308" s="9"/>
      <c r="W3308" s="9"/>
      <c r="X3308" s="9"/>
      <c r="Y3308" s="9"/>
      <c r="Z3308" s="9"/>
      <c r="AA3308" s="9"/>
    </row>
    <row r="3309">
      <c r="A3309" s="9"/>
      <c r="B3309" s="9"/>
      <c r="C3309" s="9"/>
      <c r="D3309" s="9"/>
      <c r="E3309" s="9"/>
      <c r="F3309" s="9"/>
      <c r="G3309" s="10"/>
      <c r="H3309" s="9"/>
      <c r="I3309" s="15"/>
      <c r="J3309" s="9"/>
      <c r="K3309" s="9"/>
      <c r="L3309" s="9"/>
      <c r="M3309" s="9"/>
      <c r="N3309" s="9"/>
      <c r="O3309" s="9"/>
      <c r="P3309" s="9"/>
      <c r="Q3309" s="9"/>
      <c r="R3309" s="9"/>
      <c r="S3309" s="9"/>
      <c r="T3309" s="9"/>
      <c r="U3309" s="9"/>
      <c r="V3309" s="9"/>
      <c r="W3309" s="9"/>
      <c r="X3309" s="9"/>
      <c r="Y3309" s="9"/>
      <c r="Z3309" s="9"/>
      <c r="AA3309" s="9"/>
    </row>
    <row r="3310">
      <c r="A3310" s="9"/>
      <c r="B3310" s="9"/>
      <c r="C3310" s="9"/>
      <c r="D3310" s="9"/>
      <c r="E3310" s="9"/>
      <c r="F3310" s="9"/>
      <c r="G3310" s="10"/>
      <c r="H3310" s="9"/>
      <c r="I3310" s="15"/>
      <c r="J3310" s="9"/>
      <c r="K3310" s="9"/>
      <c r="L3310" s="9"/>
      <c r="M3310" s="9"/>
      <c r="N3310" s="9"/>
      <c r="O3310" s="9"/>
      <c r="P3310" s="9"/>
      <c r="Q3310" s="9"/>
      <c r="R3310" s="9"/>
      <c r="S3310" s="9"/>
      <c r="T3310" s="9"/>
      <c r="U3310" s="9"/>
      <c r="V3310" s="9"/>
      <c r="W3310" s="9"/>
      <c r="X3310" s="9"/>
      <c r="Y3310" s="9"/>
      <c r="Z3310" s="9"/>
      <c r="AA3310" s="9"/>
    </row>
    <row r="3311">
      <c r="A3311" s="9"/>
      <c r="B3311" s="9"/>
      <c r="C3311" s="9"/>
      <c r="D3311" s="9"/>
      <c r="E3311" s="9"/>
      <c r="F3311" s="9"/>
      <c r="G3311" s="10"/>
      <c r="H3311" s="9"/>
      <c r="I3311" s="15"/>
      <c r="J3311" s="9"/>
      <c r="K3311" s="9"/>
      <c r="L3311" s="9"/>
      <c r="M3311" s="9"/>
      <c r="N3311" s="9"/>
      <c r="O3311" s="9"/>
      <c r="P3311" s="9"/>
      <c r="Q3311" s="9"/>
      <c r="R3311" s="9"/>
      <c r="S3311" s="9"/>
      <c r="T3311" s="9"/>
      <c r="U3311" s="9"/>
      <c r="V3311" s="9"/>
      <c r="W3311" s="9"/>
      <c r="X3311" s="9"/>
      <c r="Y3311" s="9"/>
      <c r="Z3311" s="9"/>
      <c r="AA3311" s="9"/>
    </row>
    <row r="3312">
      <c r="A3312" s="9"/>
      <c r="B3312" s="9"/>
      <c r="C3312" s="9"/>
      <c r="D3312" s="9"/>
      <c r="E3312" s="9"/>
      <c r="F3312" s="9"/>
      <c r="G3312" s="10"/>
      <c r="H3312" s="9"/>
      <c r="I3312" s="15"/>
      <c r="J3312" s="9"/>
      <c r="K3312" s="9"/>
      <c r="L3312" s="9"/>
      <c r="M3312" s="9"/>
      <c r="N3312" s="9"/>
      <c r="O3312" s="9"/>
      <c r="P3312" s="9"/>
      <c r="Q3312" s="9"/>
      <c r="R3312" s="9"/>
      <c r="S3312" s="9"/>
      <c r="T3312" s="9"/>
      <c r="U3312" s="9"/>
      <c r="V3312" s="9"/>
      <c r="W3312" s="9"/>
      <c r="X3312" s="9"/>
      <c r="Y3312" s="9"/>
      <c r="Z3312" s="9"/>
      <c r="AA3312" s="9"/>
    </row>
    <row r="3313">
      <c r="A3313" s="9"/>
      <c r="B3313" s="9"/>
      <c r="C3313" s="9"/>
      <c r="D3313" s="9"/>
      <c r="E3313" s="9"/>
      <c r="F3313" s="9"/>
      <c r="G3313" s="10"/>
      <c r="H3313" s="9"/>
      <c r="I3313" s="15"/>
      <c r="J3313" s="9"/>
      <c r="K3313" s="9"/>
      <c r="L3313" s="9"/>
      <c r="M3313" s="9"/>
      <c r="N3313" s="9"/>
      <c r="O3313" s="9"/>
      <c r="P3313" s="9"/>
      <c r="Q3313" s="9"/>
      <c r="R3313" s="9"/>
      <c r="S3313" s="9"/>
      <c r="T3313" s="9"/>
      <c r="U3313" s="9"/>
      <c r="V3313" s="9"/>
      <c r="W3313" s="9"/>
      <c r="X3313" s="9"/>
      <c r="Y3313" s="9"/>
      <c r="Z3313" s="9"/>
      <c r="AA3313" s="9"/>
    </row>
    <row r="3314">
      <c r="A3314" s="9"/>
      <c r="B3314" s="9"/>
      <c r="C3314" s="9"/>
      <c r="D3314" s="9"/>
      <c r="E3314" s="9"/>
      <c r="F3314" s="9"/>
      <c r="G3314" s="10"/>
      <c r="H3314" s="9"/>
      <c r="I3314" s="15"/>
      <c r="J3314" s="9"/>
      <c r="K3314" s="9"/>
      <c r="L3314" s="9"/>
      <c r="M3314" s="9"/>
      <c r="N3314" s="9"/>
      <c r="O3314" s="9"/>
      <c r="P3314" s="9"/>
      <c r="Q3314" s="9"/>
      <c r="R3314" s="9"/>
      <c r="S3314" s="9"/>
      <c r="T3314" s="9"/>
      <c r="U3314" s="9"/>
      <c r="V3314" s="9"/>
      <c r="W3314" s="9"/>
      <c r="X3314" s="9"/>
      <c r="Y3314" s="9"/>
      <c r="Z3314" s="9"/>
      <c r="AA3314" s="9"/>
    </row>
    <row r="3315">
      <c r="A3315" s="9"/>
      <c r="B3315" s="9"/>
      <c r="C3315" s="9"/>
      <c r="D3315" s="9"/>
      <c r="E3315" s="9"/>
      <c r="F3315" s="9"/>
      <c r="G3315" s="10"/>
      <c r="H3315" s="9"/>
      <c r="I3315" s="15"/>
      <c r="J3315" s="9"/>
      <c r="K3315" s="9"/>
      <c r="L3315" s="9"/>
      <c r="M3315" s="9"/>
      <c r="N3315" s="9"/>
      <c r="O3315" s="9"/>
      <c r="P3315" s="9"/>
      <c r="Q3315" s="9"/>
      <c r="R3315" s="9"/>
      <c r="S3315" s="9"/>
      <c r="T3315" s="9"/>
      <c r="U3315" s="9"/>
      <c r="V3315" s="9"/>
      <c r="W3315" s="9"/>
      <c r="X3315" s="9"/>
      <c r="Y3315" s="9"/>
      <c r="Z3315" s="9"/>
      <c r="AA3315" s="9"/>
    </row>
    <row r="3316">
      <c r="A3316" s="9"/>
      <c r="B3316" s="9"/>
      <c r="C3316" s="9"/>
      <c r="D3316" s="9"/>
      <c r="E3316" s="9"/>
      <c r="F3316" s="9"/>
      <c r="G3316" s="10"/>
      <c r="H3316" s="9"/>
      <c r="I3316" s="15"/>
      <c r="J3316" s="9"/>
      <c r="K3316" s="9"/>
      <c r="L3316" s="9"/>
      <c r="M3316" s="9"/>
      <c r="N3316" s="9"/>
      <c r="O3316" s="9"/>
      <c r="P3316" s="9"/>
      <c r="Q3316" s="9"/>
      <c r="R3316" s="9"/>
      <c r="S3316" s="9"/>
      <c r="T3316" s="9"/>
      <c r="U3316" s="9"/>
      <c r="V3316" s="9"/>
      <c r="W3316" s="9"/>
      <c r="X3316" s="9"/>
      <c r="Y3316" s="9"/>
      <c r="Z3316" s="9"/>
      <c r="AA3316" s="9"/>
    </row>
    <row r="3317">
      <c r="A3317" s="9"/>
      <c r="B3317" s="9"/>
      <c r="C3317" s="9"/>
      <c r="D3317" s="9"/>
      <c r="E3317" s="9"/>
      <c r="F3317" s="9"/>
      <c r="G3317" s="10"/>
      <c r="H3317" s="9"/>
      <c r="I3317" s="15"/>
      <c r="J3317" s="9"/>
      <c r="K3317" s="9"/>
      <c r="L3317" s="9"/>
      <c r="M3317" s="9"/>
      <c r="N3317" s="9"/>
      <c r="O3317" s="9"/>
      <c r="P3317" s="9"/>
      <c r="Q3317" s="9"/>
      <c r="R3317" s="9"/>
      <c r="S3317" s="9"/>
      <c r="T3317" s="9"/>
      <c r="U3317" s="9"/>
      <c r="V3317" s="9"/>
      <c r="W3317" s="9"/>
      <c r="X3317" s="9"/>
      <c r="Y3317" s="9"/>
      <c r="Z3317" s="9"/>
      <c r="AA3317" s="9"/>
    </row>
    <row r="3318">
      <c r="A3318" s="9"/>
      <c r="B3318" s="9"/>
      <c r="C3318" s="9"/>
      <c r="D3318" s="9"/>
      <c r="E3318" s="9"/>
      <c r="F3318" s="9"/>
      <c r="G3318" s="10"/>
      <c r="H3318" s="9"/>
      <c r="I3318" s="15"/>
      <c r="J3318" s="9"/>
      <c r="K3318" s="9"/>
      <c r="L3318" s="9"/>
      <c r="M3318" s="9"/>
      <c r="N3318" s="9"/>
      <c r="O3318" s="9"/>
      <c r="P3318" s="9"/>
      <c r="Q3318" s="9"/>
      <c r="R3318" s="9"/>
      <c r="S3318" s="9"/>
      <c r="T3318" s="9"/>
      <c r="U3318" s="9"/>
      <c r="V3318" s="9"/>
      <c r="W3318" s="9"/>
      <c r="X3318" s="9"/>
      <c r="Y3318" s="9"/>
      <c r="Z3318" s="9"/>
      <c r="AA3318" s="9"/>
    </row>
    <row r="3319">
      <c r="A3319" s="9"/>
      <c r="B3319" s="9"/>
      <c r="C3319" s="9"/>
      <c r="D3319" s="9"/>
      <c r="E3319" s="9"/>
      <c r="F3319" s="9"/>
      <c r="G3319" s="10"/>
      <c r="H3319" s="9"/>
      <c r="I3319" s="15"/>
      <c r="J3319" s="9"/>
      <c r="K3319" s="9"/>
      <c r="L3319" s="9"/>
      <c r="M3319" s="9"/>
      <c r="N3319" s="9"/>
      <c r="O3319" s="9"/>
      <c r="P3319" s="9"/>
      <c r="Q3319" s="9"/>
      <c r="R3319" s="9"/>
      <c r="S3319" s="9"/>
      <c r="T3319" s="9"/>
      <c r="U3319" s="9"/>
      <c r="V3319" s="9"/>
      <c r="W3319" s="9"/>
      <c r="X3319" s="9"/>
      <c r="Y3319" s="9"/>
      <c r="Z3319" s="9"/>
      <c r="AA3319" s="9"/>
    </row>
    <row r="3320">
      <c r="A3320" s="9"/>
      <c r="B3320" s="9"/>
      <c r="C3320" s="9"/>
      <c r="D3320" s="9"/>
      <c r="E3320" s="9"/>
      <c r="F3320" s="9"/>
      <c r="G3320" s="10"/>
      <c r="H3320" s="9"/>
      <c r="I3320" s="15"/>
      <c r="J3320" s="9"/>
      <c r="K3320" s="9"/>
      <c r="L3320" s="9"/>
      <c r="M3320" s="9"/>
      <c r="N3320" s="9"/>
      <c r="O3320" s="9"/>
      <c r="P3320" s="9"/>
      <c r="Q3320" s="9"/>
      <c r="R3320" s="9"/>
      <c r="S3320" s="9"/>
      <c r="T3320" s="9"/>
      <c r="U3320" s="9"/>
      <c r="V3320" s="9"/>
      <c r="W3320" s="9"/>
      <c r="X3320" s="9"/>
      <c r="Y3320" s="9"/>
      <c r="Z3320" s="9"/>
      <c r="AA3320" s="9"/>
    </row>
    <row r="3321">
      <c r="A3321" s="9"/>
      <c r="B3321" s="9"/>
      <c r="C3321" s="9"/>
      <c r="D3321" s="9"/>
      <c r="E3321" s="9"/>
      <c r="F3321" s="9"/>
      <c r="G3321" s="10"/>
      <c r="H3321" s="9"/>
      <c r="I3321" s="15"/>
      <c r="J3321" s="9"/>
      <c r="K3321" s="9"/>
      <c r="L3321" s="9"/>
      <c r="M3321" s="9"/>
      <c r="N3321" s="9"/>
      <c r="O3321" s="9"/>
      <c r="P3321" s="9"/>
      <c r="Q3321" s="9"/>
      <c r="R3321" s="9"/>
      <c r="S3321" s="9"/>
      <c r="T3321" s="9"/>
      <c r="U3321" s="9"/>
      <c r="V3321" s="9"/>
      <c r="W3321" s="9"/>
      <c r="X3321" s="9"/>
      <c r="Y3321" s="9"/>
      <c r="Z3321" s="9"/>
      <c r="AA3321" s="9"/>
    </row>
    <row r="3322">
      <c r="A3322" s="9"/>
      <c r="B3322" s="9"/>
      <c r="C3322" s="9"/>
      <c r="D3322" s="9"/>
      <c r="E3322" s="9"/>
      <c r="F3322" s="9"/>
      <c r="G3322" s="10"/>
      <c r="H3322" s="9"/>
      <c r="I3322" s="15"/>
      <c r="J3322" s="9"/>
      <c r="K3322" s="9"/>
      <c r="L3322" s="9"/>
      <c r="M3322" s="9"/>
      <c r="N3322" s="9"/>
      <c r="O3322" s="9"/>
      <c r="P3322" s="9"/>
      <c r="Q3322" s="9"/>
      <c r="R3322" s="9"/>
      <c r="S3322" s="9"/>
      <c r="T3322" s="9"/>
      <c r="U3322" s="9"/>
      <c r="V3322" s="9"/>
      <c r="W3322" s="9"/>
      <c r="X3322" s="9"/>
      <c r="Y3322" s="9"/>
      <c r="Z3322" s="9"/>
      <c r="AA3322" s="9"/>
    </row>
    <row r="3323">
      <c r="A3323" s="9"/>
      <c r="B3323" s="9"/>
      <c r="C3323" s="9"/>
      <c r="D3323" s="9"/>
      <c r="E3323" s="9"/>
      <c r="F3323" s="9"/>
      <c r="G3323" s="10"/>
      <c r="H3323" s="9"/>
      <c r="I3323" s="15"/>
      <c r="J3323" s="9"/>
      <c r="K3323" s="9"/>
      <c r="L3323" s="9"/>
      <c r="M3323" s="9"/>
      <c r="N3323" s="9"/>
      <c r="O3323" s="9"/>
      <c r="P3323" s="9"/>
      <c r="Q3323" s="9"/>
      <c r="R3323" s="9"/>
      <c r="S3323" s="9"/>
      <c r="T3323" s="9"/>
      <c r="U3323" s="9"/>
      <c r="V3323" s="9"/>
      <c r="W3323" s="9"/>
      <c r="X3323" s="9"/>
      <c r="Y3323" s="9"/>
      <c r="Z3323" s="9"/>
      <c r="AA3323" s="9"/>
    </row>
    <row r="3324">
      <c r="A3324" s="9"/>
      <c r="B3324" s="9"/>
      <c r="C3324" s="9"/>
      <c r="D3324" s="9"/>
      <c r="E3324" s="9"/>
      <c r="F3324" s="9"/>
      <c r="G3324" s="10"/>
      <c r="H3324" s="9"/>
      <c r="I3324" s="15"/>
      <c r="J3324" s="9"/>
      <c r="K3324" s="9"/>
      <c r="L3324" s="9"/>
      <c r="M3324" s="9"/>
      <c r="N3324" s="9"/>
      <c r="O3324" s="9"/>
      <c r="P3324" s="9"/>
      <c r="Q3324" s="9"/>
      <c r="R3324" s="9"/>
      <c r="S3324" s="9"/>
      <c r="T3324" s="9"/>
      <c r="U3324" s="9"/>
      <c r="V3324" s="9"/>
      <c r="W3324" s="9"/>
      <c r="X3324" s="9"/>
      <c r="Y3324" s="9"/>
      <c r="Z3324" s="9"/>
      <c r="AA3324" s="9"/>
    </row>
    <row r="3325">
      <c r="A3325" s="9"/>
      <c r="B3325" s="9"/>
      <c r="C3325" s="9"/>
      <c r="D3325" s="9"/>
      <c r="E3325" s="9"/>
      <c r="F3325" s="9"/>
      <c r="G3325" s="10"/>
      <c r="H3325" s="9"/>
      <c r="I3325" s="15"/>
      <c r="J3325" s="9"/>
      <c r="K3325" s="9"/>
      <c r="L3325" s="9"/>
      <c r="M3325" s="9"/>
      <c r="N3325" s="9"/>
      <c r="O3325" s="9"/>
      <c r="P3325" s="9"/>
      <c r="Q3325" s="9"/>
      <c r="R3325" s="9"/>
      <c r="S3325" s="9"/>
      <c r="T3325" s="9"/>
      <c r="U3325" s="9"/>
      <c r="V3325" s="9"/>
      <c r="W3325" s="9"/>
      <c r="X3325" s="9"/>
      <c r="Y3325" s="9"/>
      <c r="Z3325" s="9"/>
      <c r="AA3325" s="9"/>
    </row>
    <row r="3326">
      <c r="A3326" s="9"/>
      <c r="B3326" s="9"/>
      <c r="C3326" s="9"/>
      <c r="D3326" s="9"/>
      <c r="E3326" s="9"/>
      <c r="F3326" s="9"/>
      <c r="G3326" s="10"/>
      <c r="H3326" s="9"/>
      <c r="I3326" s="15"/>
      <c r="J3326" s="9"/>
      <c r="K3326" s="9"/>
      <c r="L3326" s="9"/>
      <c r="M3326" s="9"/>
      <c r="N3326" s="9"/>
      <c r="O3326" s="9"/>
      <c r="P3326" s="9"/>
      <c r="Q3326" s="9"/>
      <c r="R3326" s="9"/>
      <c r="S3326" s="9"/>
      <c r="T3326" s="9"/>
      <c r="U3326" s="9"/>
      <c r="V3326" s="9"/>
      <c r="W3326" s="9"/>
      <c r="X3326" s="9"/>
      <c r="Y3326" s="9"/>
      <c r="Z3326" s="9"/>
      <c r="AA3326" s="9"/>
    </row>
    <row r="3327">
      <c r="A3327" s="9"/>
      <c r="B3327" s="9"/>
      <c r="C3327" s="9"/>
      <c r="D3327" s="9"/>
      <c r="E3327" s="9"/>
      <c r="F3327" s="9"/>
      <c r="G3327" s="10"/>
      <c r="H3327" s="9"/>
      <c r="I3327" s="15"/>
      <c r="J3327" s="9"/>
      <c r="K3327" s="9"/>
      <c r="L3327" s="9"/>
      <c r="M3327" s="9"/>
      <c r="N3327" s="9"/>
      <c r="O3327" s="9"/>
      <c r="P3327" s="9"/>
      <c r="Q3327" s="9"/>
      <c r="R3327" s="9"/>
      <c r="S3327" s="9"/>
      <c r="T3327" s="9"/>
      <c r="U3327" s="9"/>
      <c r="V3327" s="9"/>
      <c r="W3327" s="9"/>
      <c r="X3327" s="9"/>
      <c r="Y3327" s="9"/>
      <c r="Z3327" s="9"/>
      <c r="AA3327" s="9"/>
    </row>
    <row r="3328">
      <c r="A3328" s="9"/>
      <c r="B3328" s="9"/>
      <c r="C3328" s="9"/>
      <c r="D3328" s="9"/>
      <c r="E3328" s="9"/>
      <c r="F3328" s="9"/>
      <c r="G3328" s="10"/>
      <c r="H3328" s="9"/>
      <c r="I3328" s="15"/>
      <c r="J3328" s="9"/>
      <c r="K3328" s="9"/>
      <c r="L3328" s="9"/>
      <c r="M3328" s="9"/>
      <c r="N3328" s="9"/>
      <c r="O3328" s="9"/>
      <c r="P3328" s="9"/>
      <c r="Q3328" s="9"/>
      <c r="R3328" s="9"/>
      <c r="S3328" s="9"/>
      <c r="T3328" s="9"/>
      <c r="U3328" s="9"/>
      <c r="V3328" s="9"/>
      <c r="W3328" s="9"/>
      <c r="X3328" s="9"/>
      <c r="Y3328" s="9"/>
      <c r="Z3328" s="9"/>
      <c r="AA3328" s="9"/>
    </row>
    <row r="3329">
      <c r="A3329" s="9"/>
      <c r="B3329" s="9"/>
      <c r="C3329" s="9"/>
      <c r="D3329" s="9"/>
      <c r="E3329" s="9"/>
      <c r="F3329" s="9"/>
      <c r="G3329" s="10"/>
      <c r="H3329" s="9"/>
      <c r="I3329" s="15"/>
      <c r="J3329" s="9"/>
      <c r="K3329" s="9"/>
      <c r="L3329" s="9"/>
      <c r="M3329" s="9"/>
      <c r="N3329" s="9"/>
      <c r="O3329" s="9"/>
      <c r="P3329" s="9"/>
      <c r="Q3329" s="9"/>
      <c r="R3329" s="9"/>
      <c r="S3329" s="9"/>
      <c r="T3329" s="9"/>
      <c r="U3329" s="9"/>
      <c r="V3329" s="9"/>
      <c r="W3329" s="9"/>
      <c r="X3329" s="9"/>
      <c r="Y3329" s="9"/>
      <c r="Z3329" s="9"/>
      <c r="AA3329" s="9"/>
    </row>
    <row r="3330">
      <c r="A3330" s="9"/>
      <c r="B3330" s="9"/>
      <c r="C3330" s="9"/>
      <c r="D3330" s="9"/>
      <c r="E3330" s="9"/>
      <c r="F3330" s="9"/>
      <c r="G3330" s="10"/>
      <c r="H3330" s="9"/>
      <c r="I3330" s="15"/>
      <c r="J3330" s="9"/>
      <c r="K3330" s="9"/>
      <c r="L3330" s="9"/>
      <c r="M3330" s="9"/>
      <c r="N3330" s="9"/>
      <c r="O3330" s="9"/>
      <c r="P3330" s="9"/>
      <c r="Q3330" s="9"/>
      <c r="R3330" s="9"/>
      <c r="S3330" s="9"/>
      <c r="T3330" s="9"/>
      <c r="U3330" s="9"/>
      <c r="V3330" s="9"/>
      <c r="W3330" s="9"/>
      <c r="X3330" s="9"/>
      <c r="Y3330" s="9"/>
      <c r="Z3330" s="9"/>
      <c r="AA3330" s="9"/>
    </row>
    <row r="3331">
      <c r="A3331" s="9"/>
      <c r="B3331" s="9"/>
      <c r="C3331" s="9"/>
      <c r="D3331" s="9"/>
      <c r="E3331" s="9"/>
      <c r="F3331" s="9"/>
      <c r="G3331" s="10"/>
      <c r="H3331" s="9"/>
      <c r="I3331" s="15"/>
      <c r="J3331" s="9"/>
      <c r="K3331" s="9"/>
      <c r="L3331" s="9"/>
      <c r="M3331" s="9"/>
      <c r="N3331" s="9"/>
      <c r="O3331" s="9"/>
      <c r="P3331" s="9"/>
      <c r="Q3331" s="9"/>
      <c r="R3331" s="9"/>
      <c r="S3331" s="9"/>
      <c r="T3331" s="9"/>
      <c r="U3331" s="9"/>
      <c r="V3331" s="9"/>
      <c r="W3331" s="9"/>
      <c r="X3331" s="9"/>
      <c r="Y3331" s="9"/>
      <c r="Z3331" s="9"/>
      <c r="AA3331" s="9"/>
    </row>
    <row r="3332">
      <c r="A3332" s="9"/>
      <c r="B3332" s="9"/>
      <c r="C3332" s="9"/>
      <c r="D3332" s="9"/>
      <c r="E3332" s="9"/>
      <c r="F3332" s="9"/>
      <c r="G3332" s="10"/>
      <c r="H3332" s="9"/>
      <c r="I3332" s="15"/>
      <c r="J3332" s="9"/>
      <c r="K3332" s="9"/>
      <c r="L3332" s="9"/>
      <c r="M3332" s="9"/>
      <c r="N3332" s="9"/>
      <c r="O3332" s="9"/>
      <c r="P3332" s="9"/>
      <c r="Q3332" s="9"/>
      <c r="R3332" s="9"/>
      <c r="S3332" s="9"/>
      <c r="T3332" s="9"/>
      <c r="U3332" s="9"/>
      <c r="V3332" s="9"/>
      <c r="W3332" s="9"/>
      <c r="X3332" s="9"/>
      <c r="Y3332" s="9"/>
      <c r="Z3332" s="9"/>
      <c r="AA3332" s="9"/>
    </row>
    <row r="3333">
      <c r="A3333" s="9"/>
      <c r="B3333" s="9"/>
      <c r="C3333" s="9"/>
      <c r="D3333" s="9"/>
      <c r="E3333" s="9"/>
      <c r="F3333" s="9"/>
      <c r="G3333" s="10"/>
      <c r="H3333" s="9"/>
      <c r="I3333" s="15"/>
      <c r="J3333" s="9"/>
      <c r="K3333" s="9"/>
      <c r="L3333" s="9"/>
      <c r="M3333" s="9"/>
      <c r="N3333" s="9"/>
      <c r="O3333" s="9"/>
      <c r="P3333" s="9"/>
      <c r="Q3333" s="9"/>
      <c r="R3333" s="9"/>
      <c r="S3333" s="9"/>
      <c r="T3333" s="9"/>
      <c r="U3333" s="9"/>
      <c r="V3333" s="9"/>
      <c r="W3333" s="9"/>
      <c r="X3333" s="9"/>
      <c r="Y3333" s="9"/>
      <c r="Z3333" s="9"/>
      <c r="AA3333" s="9"/>
    </row>
    <row r="3334">
      <c r="A3334" s="9"/>
      <c r="B3334" s="9"/>
      <c r="C3334" s="9"/>
      <c r="D3334" s="9"/>
      <c r="E3334" s="9"/>
      <c r="F3334" s="9"/>
      <c r="G3334" s="10"/>
      <c r="H3334" s="9"/>
      <c r="I3334" s="15"/>
      <c r="J3334" s="9"/>
      <c r="K3334" s="9"/>
      <c r="L3334" s="9"/>
      <c r="M3334" s="9"/>
      <c r="N3334" s="9"/>
      <c r="O3334" s="9"/>
      <c r="P3334" s="9"/>
      <c r="Q3334" s="9"/>
      <c r="R3334" s="9"/>
      <c r="S3334" s="9"/>
      <c r="T3334" s="9"/>
      <c r="U3334" s="9"/>
      <c r="V3334" s="9"/>
      <c r="W3334" s="9"/>
      <c r="X3334" s="9"/>
      <c r="Y3334" s="9"/>
      <c r="Z3334" s="9"/>
      <c r="AA3334" s="9"/>
    </row>
    <row r="3335">
      <c r="A3335" s="9"/>
      <c r="B3335" s="9"/>
      <c r="C3335" s="9"/>
      <c r="D3335" s="9"/>
      <c r="E3335" s="9"/>
      <c r="F3335" s="9"/>
      <c r="G3335" s="10"/>
      <c r="H3335" s="9"/>
      <c r="I3335" s="15"/>
      <c r="J3335" s="9"/>
      <c r="K3335" s="9"/>
      <c r="L3335" s="9"/>
      <c r="M3335" s="9"/>
      <c r="N3335" s="9"/>
      <c r="O3335" s="9"/>
      <c r="P3335" s="9"/>
      <c r="Q3335" s="9"/>
      <c r="R3335" s="9"/>
      <c r="S3335" s="9"/>
      <c r="T3335" s="9"/>
      <c r="U3335" s="9"/>
      <c r="V3335" s="9"/>
      <c r="W3335" s="9"/>
      <c r="X3335" s="9"/>
      <c r="Y3335" s="9"/>
      <c r="Z3335" s="9"/>
      <c r="AA3335" s="9"/>
    </row>
    <row r="3336">
      <c r="A3336" s="9"/>
      <c r="B3336" s="9"/>
      <c r="C3336" s="9"/>
      <c r="D3336" s="9"/>
      <c r="E3336" s="9"/>
      <c r="F3336" s="9"/>
      <c r="G3336" s="10"/>
      <c r="H3336" s="9"/>
      <c r="I3336" s="15"/>
      <c r="J3336" s="9"/>
      <c r="K3336" s="9"/>
      <c r="L3336" s="9"/>
      <c r="M3336" s="9"/>
      <c r="N3336" s="9"/>
      <c r="O3336" s="9"/>
      <c r="P3336" s="9"/>
      <c r="Q3336" s="9"/>
      <c r="R3336" s="9"/>
      <c r="S3336" s="9"/>
      <c r="T3336" s="9"/>
      <c r="U3336" s="9"/>
      <c r="V3336" s="9"/>
      <c r="W3336" s="9"/>
      <c r="X3336" s="9"/>
      <c r="Y3336" s="9"/>
      <c r="Z3336" s="9"/>
      <c r="AA3336" s="9"/>
    </row>
    <row r="3337">
      <c r="A3337" s="9"/>
      <c r="B3337" s="9"/>
      <c r="C3337" s="9"/>
      <c r="D3337" s="9"/>
      <c r="E3337" s="9"/>
      <c r="F3337" s="9"/>
      <c r="G3337" s="10"/>
      <c r="H3337" s="9"/>
      <c r="I3337" s="15"/>
      <c r="J3337" s="9"/>
      <c r="K3337" s="9"/>
      <c r="L3337" s="9"/>
      <c r="M3337" s="9"/>
      <c r="N3337" s="9"/>
      <c r="O3337" s="9"/>
      <c r="P3337" s="9"/>
      <c r="Q3337" s="9"/>
      <c r="R3337" s="9"/>
      <c r="S3337" s="9"/>
      <c r="T3337" s="9"/>
      <c r="U3337" s="9"/>
      <c r="V3337" s="9"/>
      <c r="W3337" s="9"/>
      <c r="X3337" s="9"/>
      <c r="Y3337" s="9"/>
      <c r="Z3337" s="9"/>
      <c r="AA3337" s="9"/>
    </row>
    <row r="3338">
      <c r="A3338" s="9"/>
      <c r="B3338" s="9"/>
      <c r="C3338" s="9"/>
      <c r="D3338" s="9"/>
      <c r="E3338" s="9"/>
      <c r="F3338" s="9"/>
      <c r="G3338" s="10"/>
      <c r="H3338" s="9"/>
      <c r="I3338" s="15"/>
      <c r="J3338" s="9"/>
      <c r="K3338" s="9"/>
      <c r="L3338" s="9"/>
      <c r="M3338" s="9"/>
      <c r="N3338" s="9"/>
      <c r="O3338" s="9"/>
      <c r="P3338" s="9"/>
      <c r="Q3338" s="9"/>
      <c r="R3338" s="9"/>
      <c r="S3338" s="9"/>
      <c r="T3338" s="9"/>
      <c r="U3338" s="9"/>
      <c r="V3338" s="9"/>
      <c r="W3338" s="9"/>
      <c r="X3338" s="9"/>
      <c r="Y3338" s="9"/>
      <c r="Z3338" s="9"/>
      <c r="AA3338" s="9"/>
    </row>
    <row r="3339">
      <c r="A3339" s="9"/>
      <c r="B3339" s="9"/>
      <c r="C3339" s="9"/>
      <c r="D3339" s="9"/>
      <c r="E3339" s="9"/>
      <c r="F3339" s="9"/>
      <c r="G3339" s="10"/>
      <c r="H3339" s="9"/>
      <c r="I3339" s="15"/>
      <c r="J3339" s="9"/>
      <c r="K3339" s="9"/>
      <c r="L3339" s="9"/>
      <c r="M3339" s="9"/>
      <c r="N3339" s="9"/>
      <c r="O3339" s="9"/>
      <c r="P3339" s="9"/>
      <c r="Q3339" s="9"/>
      <c r="R3339" s="9"/>
      <c r="S3339" s="9"/>
      <c r="T3339" s="9"/>
      <c r="U3339" s="9"/>
      <c r="V3339" s="9"/>
      <c r="W3339" s="9"/>
      <c r="X3339" s="9"/>
      <c r="Y3339" s="9"/>
      <c r="Z3339" s="9"/>
      <c r="AA3339" s="9"/>
    </row>
    <row r="3340">
      <c r="A3340" s="9"/>
      <c r="B3340" s="9"/>
      <c r="C3340" s="9"/>
      <c r="D3340" s="9"/>
      <c r="E3340" s="9"/>
      <c r="F3340" s="9"/>
      <c r="G3340" s="10"/>
      <c r="H3340" s="9"/>
      <c r="I3340" s="15"/>
      <c r="J3340" s="9"/>
      <c r="K3340" s="9"/>
      <c r="L3340" s="9"/>
      <c r="M3340" s="9"/>
      <c r="N3340" s="9"/>
      <c r="O3340" s="9"/>
      <c r="P3340" s="9"/>
      <c r="Q3340" s="9"/>
      <c r="R3340" s="9"/>
      <c r="S3340" s="9"/>
      <c r="T3340" s="9"/>
      <c r="U3340" s="9"/>
      <c r="V3340" s="9"/>
      <c r="W3340" s="9"/>
      <c r="X3340" s="9"/>
      <c r="Y3340" s="9"/>
      <c r="Z3340" s="9"/>
      <c r="AA3340" s="9"/>
    </row>
    <row r="3341">
      <c r="A3341" s="9"/>
      <c r="B3341" s="9"/>
      <c r="C3341" s="9"/>
      <c r="D3341" s="9"/>
      <c r="E3341" s="9"/>
      <c r="F3341" s="9"/>
      <c r="G3341" s="10"/>
      <c r="H3341" s="9"/>
      <c r="I3341" s="15"/>
      <c r="J3341" s="9"/>
      <c r="K3341" s="9"/>
      <c r="L3341" s="9"/>
      <c r="M3341" s="9"/>
      <c r="N3341" s="9"/>
      <c r="O3341" s="9"/>
      <c r="P3341" s="9"/>
      <c r="Q3341" s="9"/>
      <c r="R3341" s="9"/>
      <c r="S3341" s="9"/>
      <c r="T3341" s="9"/>
      <c r="U3341" s="9"/>
      <c r="V3341" s="9"/>
      <c r="W3341" s="9"/>
      <c r="X3341" s="9"/>
      <c r="Y3341" s="9"/>
      <c r="Z3341" s="9"/>
      <c r="AA3341" s="9"/>
    </row>
    <row r="3342">
      <c r="A3342" s="9"/>
      <c r="B3342" s="9"/>
      <c r="C3342" s="9"/>
      <c r="D3342" s="9"/>
      <c r="E3342" s="9"/>
      <c r="F3342" s="9"/>
      <c r="G3342" s="10"/>
      <c r="H3342" s="9"/>
      <c r="I3342" s="15"/>
      <c r="J3342" s="9"/>
      <c r="K3342" s="9"/>
      <c r="L3342" s="9"/>
      <c r="M3342" s="9"/>
      <c r="N3342" s="9"/>
      <c r="O3342" s="9"/>
      <c r="P3342" s="9"/>
      <c r="Q3342" s="9"/>
      <c r="R3342" s="9"/>
      <c r="S3342" s="9"/>
      <c r="T3342" s="9"/>
      <c r="U3342" s="9"/>
      <c r="V3342" s="9"/>
      <c r="W3342" s="9"/>
      <c r="X3342" s="9"/>
      <c r="Y3342" s="9"/>
      <c r="Z3342" s="9"/>
      <c r="AA3342" s="9"/>
    </row>
    <row r="3343">
      <c r="A3343" s="9"/>
      <c r="B3343" s="9"/>
      <c r="C3343" s="9"/>
      <c r="D3343" s="9"/>
      <c r="E3343" s="9"/>
      <c r="F3343" s="9"/>
      <c r="G3343" s="10"/>
      <c r="H3343" s="9"/>
      <c r="I3343" s="15"/>
      <c r="J3343" s="9"/>
      <c r="K3343" s="9"/>
      <c r="L3343" s="9"/>
      <c r="M3343" s="9"/>
      <c r="N3343" s="9"/>
      <c r="O3343" s="9"/>
      <c r="P3343" s="9"/>
      <c r="Q3343" s="9"/>
      <c r="R3343" s="9"/>
      <c r="S3343" s="9"/>
      <c r="T3343" s="9"/>
      <c r="U3343" s="9"/>
      <c r="V3343" s="9"/>
      <c r="W3343" s="9"/>
      <c r="X3343" s="9"/>
      <c r="Y3343" s="9"/>
      <c r="Z3343" s="9"/>
      <c r="AA3343" s="9"/>
    </row>
    <row r="3344">
      <c r="A3344" s="9"/>
      <c r="B3344" s="9"/>
      <c r="C3344" s="9"/>
      <c r="D3344" s="9"/>
      <c r="E3344" s="9"/>
      <c r="F3344" s="9"/>
      <c r="G3344" s="10"/>
      <c r="H3344" s="9"/>
      <c r="I3344" s="15"/>
      <c r="J3344" s="9"/>
      <c r="K3344" s="9"/>
      <c r="L3344" s="9"/>
      <c r="M3344" s="9"/>
      <c r="N3344" s="9"/>
      <c r="O3344" s="9"/>
      <c r="P3344" s="9"/>
      <c r="Q3344" s="9"/>
      <c r="R3344" s="9"/>
      <c r="S3344" s="9"/>
      <c r="T3344" s="9"/>
      <c r="U3344" s="9"/>
      <c r="V3344" s="9"/>
      <c r="W3344" s="9"/>
      <c r="X3344" s="9"/>
      <c r="Y3344" s="9"/>
      <c r="Z3344" s="9"/>
      <c r="AA3344" s="9"/>
    </row>
    <row r="3345">
      <c r="A3345" s="9"/>
      <c r="B3345" s="9"/>
      <c r="C3345" s="9"/>
      <c r="D3345" s="9"/>
      <c r="E3345" s="9"/>
      <c r="F3345" s="9"/>
      <c r="G3345" s="10"/>
      <c r="H3345" s="9"/>
      <c r="I3345" s="15"/>
      <c r="J3345" s="9"/>
      <c r="K3345" s="9"/>
      <c r="L3345" s="9"/>
      <c r="M3345" s="9"/>
      <c r="N3345" s="9"/>
      <c r="O3345" s="9"/>
      <c r="P3345" s="9"/>
      <c r="Q3345" s="9"/>
      <c r="R3345" s="9"/>
      <c r="S3345" s="9"/>
      <c r="T3345" s="9"/>
      <c r="U3345" s="9"/>
      <c r="V3345" s="9"/>
      <c r="W3345" s="9"/>
      <c r="X3345" s="9"/>
      <c r="Y3345" s="9"/>
      <c r="Z3345" s="9"/>
      <c r="AA3345" s="9"/>
    </row>
    <row r="3346">
      <c r="A3346" s="9"/>
      <c r="B3346" s="9"/>
      <c r="C3346" s="9"/>
      <c r="D3346" s="9"/>
      <c r="E3346" s="9"/>
      <c r="F3346" s="9"/>
      <c r="G3346" s="10"/>
      <c r="H3346" s="9"/>
      <c r="I3346" s="15"/>
      <c r="J3346" s="9"/>
      <c r="K3346" s="9"/>
      <c r="L3346" s="9"/>
      <c r="M3346" s="9"/>
      <c r="N3346" s="9"/>
      <c r="O3346" s="9"/>
      <c r="P3346" s="9"/>
      <c r="Q3346" s="9"/>
      <c r="R3346" s="9"/>
      <c r="S3346" s="9"/>
      <c r="T3346" s="9"/>
      <c r="U3346" s="9"/>
      <c r="V3346" s="9"/>
      <c r="W3346" s="9"/>
      <c r="X3346" s="9"/>
      <c r="Y3346" s="9"/>
      <c r="Z3346" s="9"/>
      <c r="AA3346" s="9"/>
    </row>
    <row r="3347">
      <c r="A3347" s="9"/>
      <c r="B3347" s="9"/>
      <c r="C3347" s="9"/>
      <c r="D3347" s="9"/>
      <c r="E3347" s="9"/>
      <c r="F3347" s="9"/>
      <c r="G3347" s="10"/>
      <c r="H3347" s="9"/>
      <c r="I3347" s="15"/>
      <c r="J3347" s="9"/>
      <c r="K3347" s="9"/>
      <c r="L3347" s="9"/>
      <c r="M3347" s="9"/>
      <c r="N3347" s="9"/>
      <c r="O3347" s="9"/>
      <c r="P3347" s="9"/>
      <c r="Q3347" s="9"/>
      <c r="R3347" s="9"/>
      <c r="S3347" s="9"/>
      <c r="T3347" s="9"/>
      <c r="U3347" s="9"/>
      <c r="V3347" s="9"/>
      <c r="W3347" s="9"/>
      <c r="X3347" s="9"/>
      <c r="Y3347" s="9"/>
      <c r="Z3347" s="9"/>
      <c r="AA3347" s="9"/>
    </row>
    <row r="3348">
      <c r="A3348" s="9"/>
      <c r="B3348" s="9"/>
      <c r="C3348" s="9"/>
      <c r="D3348" s="9"/>
      <c r="E3348" s="9"/>
      <c r="F3348" s="9"/>
      <c r="G3348" s="10"/>
      <c r="H3348" s="9"/>
      <c r="I3348" s="15"/>
      <c r="J3348" s="9"/>
      <c r="K3348" s="9"/>
      <c r="L3348" s="9"/>
      <c r="M3348" s="9"/>
      <c r="N3348" s="9"/>
      <c r="O3348" s="9"/>
      <c r="P3348" s="9"/>
      <c r="Q3348" s="9"/>
      <c r="R3348" s="9"/>
      <c r="S3348" s="9"/>
      <c r="T3348" s="9"/>
      <c r="U3348" s="9"/>
      <c r="V3348" s="9"/>
      <c r="W3348" s="9"/>
      <c r="X3348" s="9"/>
      <c r="Y3348" s="9"/>
      <c r="Z3348" s="9"/>
      <c r="AA3348" s="9"/>
    </row>
    <row r="3349">
      <c r="A3349" s="9"/>
      <c r="B3349" s="9"/>
      <c r="C3349" s="9"/>
      <c r="D3349" s="9"/>
      <c r="E3349" s="9"/>
      <c r="F3349" s="9"/>
      <c r="G3349" s="10"/>
      <c r="H3349" s="9"/>
      <c r="I3349" s="15"/>
      <c r="J3349" s="9"/>
      <c r="K3349" s="9"/>
      <c r="L3349" s="9"/>
      <c r="M3349" s="9"/>
      <c r="N3349" s="9"/>
      <c r="O3349" s="9"/>
      <c r="P3349" s="9"/>
      <c r="Q3349" s="9"/>
      <c r="R3349" s="9"/>
      <c r="S3349" s="9"/>
      <c r="T3349" s="9"/>
      <c r="U3349" s="9"/>
      <c r="V3349" s="9"/>
      <c r="W3349" s="9"/>
      <c r="X3349" s="9"/>
      <c r="Y3349" s="9"/>
      <c r="Z3349" s="9"/>
      <c r="AA3349" s="9"/>
    </row>
    <row r="3350">
      <c r="A3350" s="9"/>
      <c r="B3350" s="9"/>
      <c r="C3350" s="9"/>
      <c r="D3350" s="9"/>
      <c r="E3350" s="9"/>
      <c r="F3350" s="9"/>
      <c r="G3350" s="10"/>
      <c r="H3350" s="9"/>
      <c r="I3350" s="15"/>
      <c r="J3350" s="9"/>
      <c r="K3350" s="9"/>
      <c r="L3350" s="9"/>
      <c r="M3350" s="9"/>
      <c r="N3350" s="9"/>
      <c r="O3350" s="9"/>
      <c r="P3350" s="9"/>
      <c r="Q3350" s="9"/>
      <c r="R3350" s="9"/>
      <c r="S3350" s="9"/>
      <c r="T3350" s="9"/>
      <c r="U3350" s="9"/>
      <c r="V3350" s="9"/>
      <c r="W3350" s="9"/>
      <c r="X3350" s="9"/>
      <c r="Y3350" s="9"/>
      <c r="Z3350" s="9"/>
      <c r="AA3350" s="9"/>
    </row>
    <row r="3351">
      <c r="A3351" s="9"/>
      <c r="B3351" s="9"/>
      <c r="C3351" s="9"/>
      <c r="D3351" s="9"/>
      <c r="E3351" s="9"/>
      <c r="F3351" s="9"/>
      <c r="G3351" s="10"/>
      <c r="H3351" s="9"/>
      <c r="I3351" s="15"/>
      <c r="J3351" s="9"/>
      <c r="K3351" s="9"/>
      <c r="L3351" s="9"/>
      <c r="M3351" s="9"/>
      <c r="N3351" s="9"/>
      <c r="O3351" s="9"/>
      <c r="P3351" s="9"/>
      <c r="Q3351" s="9"/>
      <c r="R3351" s="9"/>
      <c r="S3351" s="9"/>
      <c r="T3351" s="9"/>
      <c r="U3351" s="9"/>
      <c r="V3351" s="9"/>
      <c r="W3351" s="9"/>
      <c r="X3351" s="9"/>
      <c r="Y3351" s="9"/>
      <c r="Z3351" s="9"/>
      <c r="AA3351" s="9"/>
    </row>
    <row r="3352">
      <c r="A3352" s="9"/>
      <c r="B3352" s="9"/>
      <c r="C3352" s="9"/>
      <c r="D3352" s="9"/>
      <c r="E3352" s="9"/>
      <c r="F3352" s="9"/>
      <c r="G3352" s="10"/>
      <c r="H3352" s="9"/>
      <c r="I3352" s="15"/>
      <c r="J3352" s="9"/>
      <c r="K3352" s="9"/>
      <c r="L3352" s="9"/>
      <c r="M3352" s="9"/>
      <c r="N3352" s="9"/>
      <c r="O3352" s="9"/>
      <c r="P3352" s="9"/>
      <c r="Q3352" s="9"/>
      <c r="R3352" s="9"/>
      <c r="S3352" s="9"/>
      <c r="T3352" s="9"/>
      <c r="U3352" s="9"/>
      <c r="V3352" s="9"/>
      <c r="W3352" s="9"/>
      <c r="X3352" s="9"/>
      <c r="Y3352" s="9"/>
      <c r="Z3352" s="9"/>
      <c r="AA3352" s="9"/>
    </row>
    <row r="3353">
      <c r="A3353" s="9"/>
      <c r="B3353" s="9"/>
      <c r="C3353" s="9"/>
      <c r="D3353" s="9"/>
      <c r="E3353" s="9"/>
      <c r="F3353" s="9"/>
      <c r="G3353" s="10"/>
      <c r="H3353" s="9"/>
      <c r="I3353" s="15"/>
      <c r="J3353" s="9"/>
      <c r="K3353" s="9"/>
      <c r="L3353" s="9"/>
      <c r="M3353" s="9"/>
      <c r="N3353" s="9"/>
      <c r="O3353" s="9"/>
      <c r="P3353" s="9"/>
      <c r="Q3353" s="9"/>
      <c r="R3353" s="9"/>
      <c r="S3353" s="9"/>
      <c r="T3353" s="9"/>
      <c r="U3353" s="9"/>
      <c r="V3353" s="9"/>
      <c r="W3353" s="9"/>
      <c r="X3353" s="9"/>
      <c r="Y3353" s="9"/>
      <c r="Z3353" s="9"/>
      <c r="AA3353" s="9"/>
    </row>
    <row r="3354">
      <c r="A3354" s="9"/>
      <c r="B3354" s="9"/>
      <c r="C3354" s="9"/>
      <c r="D3354" s="9"/>
      <c r="E3354" s="9"/>
      <c r="F3354" s="9"/>
      <c r="G3354" s="10"/>
      <c r="H3354" s="9"/>
      <c r="I3354" s="15"/>
      <c r="J3354" s="9"/>
      <c r="K3354" s="9"/>
      <c r="L3354" s="9"/>
      <c r="M3354" s="9"/>
      <c r="N3354" s="9"/>
      <c r="O3354" s="9"/>
      <c r="P3354" s="9"/>
      <c r="Q3354" s="9"/>
      <c r="R3354" s="9"/>
      <c r="S3354" s="9"/>
      <c r="T3354" s="9"/>
      <c r="U3354" s="9"/>
      <c r="V3354" s="9"/>
      <c r="W3354" s="9"/>
      <c r="X3354" s="9"/>
      <c r="Y3354" s="9"/>
      <c r="Z3354" s="9"/>
      <c r="AA3354" s="9"/>
    </row>
    <row r="3355">
      <c r="A3355" s="9"/>
      <c r="B3355" s="9"/>
      <c r="C3355" s="9"/>
      <c r="D3355" s="9"/>
      <c r="E3355" s="9"/>
      <c r="F3355" s="9"/>
      <c r="G3355" s="10"/>
      <c r="H3355" s="9"/>
      <c r="I3355" s="15"/>
      <c r="J3355" s="9"/>
      <c r="K3355" s="9"/>
      <c r="L3355" s="9"/>
      <c r="M3355" s="9"/>
      <c r="N3355" s="9"/>
      <c r="O3355" s="9"/>
      <c r="P3355" s="9"/>
      <c r="Q3355" s="9"/>
      <c r="R3355" s="9"/>
      <c r="S3355" s="9"/>
      <c r="T3355" s="9"/>
      <c r="U3355" s="9"/>
      <c r="V3355" s="9"/>
      <c r="W3355" s="9"/>
      <c r="X3355" s="9"/>
      <c r="Y3355" s="9"/>
      <c r="Z3355" s="9"/>
      <c r="AA3355" s="9"/>
    </row>
    <row r="3356">
      <c r="A3356" s="9"/>
      <c r="B3356" s="9"/>
      <c r="C3356" s="9"/>
      <c r="D3356" s="9"/>
      <c r="E3356" s="9"/>
      <c r="F3356" s="9"/>
      <c r="G3356" s="10"/>
      <c r="H3356" s="9"/>
      <c r="I3356" s="15"/>
      <c r="J3356" s="9"/>
      <c r="K3356" s="9"/>
      <c r="L3356" s="9"/>
      <c r="M3356" s="9"/>
      <c r="N3356" s="9"/>
      <c r="O3356" s="9"/>
      <c r="P3356" s="9"/>
      <c r="Q3356" s="9"/>
      <c r="R3356" s="9"/>
      <c r="S3356" s="9"/>
      <c r="T3356" s="9"/>
      <c r="U3356" s="9"/>
      <c r="V3356" s="9"/>
      <c r="W3356" s="9"/>
      <c r="X3356" s="9"/>
      <c r="Y3356" s="9"/>
      <c r="Z3356" s="9"/>
      <c r="AA3356" s="9"/>
    </row>
    <row r="3357">
      <c r="A3357" s="9"/>
      <c r="B3357" s="9"/>
      <c r="C3357" s="9"/>
      <c r="D3357" s="9"/>
      <c r="E3357" s="9"/>
      <c r="F3357" s="9"/>
      <c r="G3357" s="10"/>
      <c r="H3357" s="9"/>
      <c r="I3357" s="15"/>
      <c r="J3357" s="9"/>
      <c r="K3357" s="9"/>
      <c r="L3357" s="9"/>
      <c r="M3357" s="9"/>
      <c r="N3357" s="9"/>
      <c r="O3357" s="9"/>
      <c r="P3357" s="9"/>
      <c r="Q3357" s="9"/>
      <c r="R3357" s="9"/>
      <c r="S3357" s="9"/>
      <c r="T3357" s="9"/>
      <c r="U3357" s="9"/>
      <c r="V3357" s="9"/>
      <c r="W3357" s="9"/>
      <c r="X3357" s="9"/>
      <c r="Y3357" s="9"/>
      <c r="Z3357" s="9"/>
      <c r="AA3357" s="9"/>
    </row>
    <row r="3358">
      <c r="A3358" s="9"/>
      <c r="B3358" s="9"/>
      <c r="C3358" s="9"/>
      <c r="D3358" s="9"/>
      <c r="E3358" s="9"/>
      <c r="F3358" s="9"/>
      <c r="G3358" s="10"/>
      <c r="H3358" s="9"/>
      <c r="I3358" s="15"/>
      <c r="J3358" s="9"/>
      <c r="K3358" s="9"/>
      <c r="L3358" s="9"/>
      <c r="M3358" s="9"/>
      <c r="N3358" s="9"/>
      <c r="O3358" s="9"/>
      <c r="P3358" s="9"/>
      <c r="Q3358" s="9"/>
      <c r="R3358" s="9"/>
      <c r="S3358" s="9"/>
      <c r="T3358" s="9"/>
      <c r="U3358" s="9"/>
      <c r="V3358" s="9"/>
      <c r="W3358" s="9"/>
      <c r="X3358" s="9"/>
      <c r="Y3358" s="9"/>
      <c r="Z3358" s="9"/>
      <c r="AA3358" s="9"/>
    </row>
    <row r="3359">
      <c r="A3359" s="9"/>
      <c r="B3359" s="9"/>
      <c r="C3359" s="9"/>
      <c r="D3359" s="9"/>
      <c r="E3359" s="9"/>
      <c r="F3359" s="9"/>
      <c r="G3359" s="10"/>
      <c r="H3359" s="9"/>
      <c r="I3359" s="15"/>
      <c r="J3359" s="9"/>
      <c r="K3359" s="9"/>
      <c r="L3359" s="9"/>
      <c r="M3359" s="9"/>
      <c r="N3359" s="9"/>
      <c r="O3359" s="9"/>
      <c r="P3359" s="9"/>
      <c r="Q3359" s="9"/>
      <c r="R3359" s="9"/>
      <c r="S3359" s="9"/>
      <c r="T3359" s="9"/>
      <c r="U3359" s="9"/>
      <c r="V3359" s="9"/>
      <c r="W3359" s="9"/>
      <c r="X3359" s="9"/>
      <c r="Y3359" s="9"/>
      <c r="Z3359" s="9"/>
      <c r="AA3359" s="9"/>
    </row>
    <row r="3360">
      <c r="A3360" s="9"/>
      <c r="B3360" s="9"/>
      <c r="C3360" s="9"/>
      <c r="D3360" s="9"/>
      <c r="E3360" s="9"/>
      <c r="F3360" s="9"/>
      <c r="G3360" s="10"/>
      <c r="H3360" s="9"/>
      <c r="I3360" s="15"/>
      <c r="J3360" s="9"/>
      <c r="K3360" s="9"/>
      <c r="L3360" s="9"/>
      <c r="M3360" s="9"/>
      <c r="N3360" s="9"/>
      <c r="O3360" s="9"/>
      <c r="P3360" s="9"/>
      <c r="Q3360" s="9"/>
      <c r="R3360" s="9"/>
      <c r="S3360" s="9"/>
      <c r="T3360" s="9"/>
      <c r="U3360" s="9"/>
      <c r="V3360" s="9"/>
      <c r="W3360" s="9"/>
      <c r="X3360" s="9"/>
      <c r="Y3360" s="9"/>
      <c r="Z3360" s="9"/>
      <c r="AA3360" s="9"/>
    </row>
    <row r="3361">
      <c r="A3361" s="9"/>
      <c r="B3361" s="9"/>
      <c r="C3361" s="9"/>
      <c r="D3361" s="9"/>
      <c r="E3361" s="9"/>
      <c r="F3361" s="9"/>
      <c r="G3361" s="10"/>
      <c r="H3361" s="9"/>
      <c r="I3361" s="15"/>
      <c r="J3361" s="9"/>
      <c r="K3361" s="9"/>
      <c r="L3361" s="9"/>
      <c r="M3361" s="9"/>
      <c r="N3361" s="9"/>
      <c r="O3361" s="9"/>
      <c r="P3361" s="9"/>
      <c r="Q3361" s="9"/>
      <c r="R3361" s="9"/>
      <c r="S3361" s="9"/>
      <c r="T3361" s="9"/>
      <c r="U3361" s="9"/>
      <c r="V3361" s="9"/>
      <c r="W3361" s="9"/>
      <c r="X3361" s="9"/>
      <c r="Y3361" s="9"/>
      <c r="Z3361" s="9"/>
      <c r="AA3361" s="9"/>
    </row>
    <row r="3362">
      <c r="A3362" s="9"/>
      <c r="B3362" s="9"/>
      <c r="C3362" s="9"/>
      <c r="D3362" s="9"/>
      <c r="E3362" s="9"/>
      <c r="F3362" s="9"/>
      <c r="G3362" s="10"/>
      <c r="H3362" s="9"/>
      <c r="I3362" s="15"/>
      <c r="J3362" s="9"/>
      <c r="K3362" s="9"/>
      <c r="L3362" s="9"/>
      <c r="M3362" s="9"/>
      <c r="N3362" s="9"/>
      <c r="O3362" s="9"/>
      <c r="P3362" s="9"/>
      <c r="Q3362" s="9"/>
      <c r="R3362" s="9"/>
      <c r="S3362" s="9"/>
      <c r="T3362" s="9"/>
      <c r="U3362" s="9"/>
      <c r="V3362" s="9"/>
      <c r="W3362" s="9"/>
      <c r="X3362" s="9"/>
      <c r="Y3362" s="9"/>
      <c r="Z3362" s="9"/>
      <c r="AA3362" s="9"/>
    </row>
    <row r="3363">
      <c r="A3363" s="9"/>
      <c r="B3363" s="9"/>
      <c r="C3363" s="9"/>
      <c r="D3363" s="9"/>
      <c r="E3363" s="9"/>
      <c r="F3363" s="9"/>
      <c r="G3363" s="10"/>
      <c r="H3363" s="9"/>
      <c r="I3363" s="15"/>
      <c r="J3363" s="9"/>
      <c r="K3363" s="9"/>
      <c r="L3363" s="9"/>
      <c r="M3363" s="9"/>
      <c r="N3363" s="9"/>
      <c r="O3363" s="9"/>
      <c r="P3363" s="9"/>
      <c r="Q3363" s="9"/>
      <c r="R3363" s="9"/>
      <c r="S3363" s="9"/>
      <c r="T3363" s="9"/>
      <c r="U3363" s="9"/>
      <c r="V3363" s="9"/>
      <c r="W3363" s="9"/>
      <c r="X3363" s="9"/>
      <c r="Y3363" s="9"/>
      <c r="Z3363" s="9"/>
      <c r="AA3363" s="9"/>
    </row>
    <row r="3364">
      <c r="A3364" s="9"/>
      <c r="B3364" s="9"/>
      <c r="C3364" s="9"/>
      <c r="D3364" s="9"/>
      <c r="E3364" s="9"/>
      <c r="F3364" s="9"/>
      <c r="G3364" s="10"/>
      <c r="H3364" s="9"/>
      <c r="I3364" s="15"/>
      <c r="J3364" s="9"/>
      <c r="K3364" s="9"/>
      <c r="L3364" s="9"/>
      <c r="M3364" s="9"/>
      <c r="N3364" s="9"/>
      <c r="O3364" s="9"/>
      <c r="P3364" s="9"/>
      <c r="Q3364" s="9"/>
      <c r="R3364" s="9"/>
      <c r="S3364" s="9"/>
      <c r="T3364" s="9"/>
      <c r="U3364" s="9"/>
      <c r="V3364" s="9"/>
      <c r="W3364" s="9"/>
      <c r="X3364" s="9"/>
      <c r="Y3364" s="9"/>
      <c r="Z3364" s="9"/>
      <c r="AA3364" s="9"/>
    </row>
    <row r="3365">
      <c r="A3365" s="9"/>
      <c r="B3365" s="9"/>
      <c r="C3365" s="9"/>
      <c r="D3365" s="9"/>
      <c r="E3365" s="9"/>
      <c r="F3365" s="9"/>
      <c r="G3365" s="10"/>
      <c r="H3365" s="9"/>
      <c r="I3365" s="15"/>
      <c r="J3365" s="9"/>
      <c r="K3365" s="9"/>
      <c r="L3365" s="9"/>
      <c r="M3365" s="9"/>
      <c r="N3365" s="9"/>
      <c r="O3365" s="9"/>
      <c r="P3365" s="9"/>
      <c r="Q3365" s="9"/>
      <c r="R3365" s="9"/>
      <c r="S3365" s="9"/>
      <c r="T3365" s="9"/>
      <c r="U3365" s="9"/>
      <c r="V3365" s="9"/>
      <c r="W3365" s="9"/>
      <c r="X3365" s="9"/>
      <c r="Y3365" s="9"/>
      <c r="Z3365" s="9"/>
      <c r="AA3365" s="9"/>
    </row>
    <row r="3366">
      <c r="A3366" s="9"/>
      <c r="B3366" s="9"/>
      <c r="C3366" s="9"/>
      <c r="D3366" s="9"/>
      <c r="E3366" s="9"/>
      <c r="F3366" s="9"/>
      <c r="G3366" s="10"/>
      <c r="H3366" s="9"/>
      <c r="I3366" s="15"/>
      <c r="J3366" s="9"/>
      <c r="K3366" s="9"/>
      <c r="L3366" s="9"/>
      <c r="M3366" s="9"/>
      <c r="N3366" s="9"/>
      <c r="O3366" s="9"/>
      <c r="P3366" s="9"/>
      <c r="Q3366" s="9"/>
      <c r="R3366" s="9"/>
      <c r="S3366" s="9"/>
      <c r="T3366" s="9"/>
      <c r="U3366" s="9"/>
      <c r="V3366" s="9"/>
      <c r="W3366" s="9"/>
      <c r="X3366" s="9"/>
      <c r="Y3366" s="9"/>
      <c r="Z3366" s="9"/>
      <c r="AA3366" s="9"/>
    </row>
    <row r="3367">
      <c r="A3367" s="9"/>
      <c r="B3367" s="9"/>
      <c r="C3367" s="9"/>
      <c r="D3367" s="9"/>
      <c r="E3367" s="9"/>
      <c r="F3367" s="9"/>
      <c r="G3367" s="10"/>
      <c r="H3367" s="9"/>
      <c r="I3367" s="15"/>
      <c r="J3367" s="9"/>
      <c r="K3367" s="9"/>
      <c r="L3367" s="9"/>
      <c r="M3367" s="9"/>
      <c r="N3367" s="9"/>
      <c r="O3367" s="9"/>
      <c r="P3367" s="9"/>
      <c r="Q3367" s="9"/>
      <c r="R3367" s="9"/>
      <c r="S3367" s="9"/>
      <c r="T3367" s="9"/>
      <c r="U3367" s="9"/>
      <c r="V3367" s="9"/>
      <c r="W3367" s="9"/>
      <c r="X3367" s="9"/>
      <c r="Y3367" s="9"/>
      <c r="Z3367" s="9"/>
      <c r="AA3367" s="9"/>
    </row>
    <row r="3368">
      <c r="A3368" s="9"/>
      <c r="B3368" s="9"/>
      <c r="C3368" s="9"/>
      <c r="D3368" s="9"/>
      <c r="E3368" s="9"/>
      <c r="F3368" s="9"/>
      <c r="G3368" s="10"/>
      <c r="H3368" s="9"/>
      <c r="I3368" s="15"/>
      <c r="J3368" s="9"/>
      <c r="K3368" s="9"/>
      <c r="L3368" s="9"/>
      <c r="M3368" s="9"/>
      <c r="N3368" s="9"/>
      <c r="O3368" s="9"/>
      <c r="P3368" s="9"/>
      <c r="Q3368" s="9"/>
      <c r="R3368" s="9"/>
      <c r="S3368" s="9"/>
      <c r="T3368" s="9"/>
      <c r="U3368" s="9"/>
      <c r="V3368" s="9"/>
      <c r="W3368" s="9"/>
      <c r="X3368" s="9"/>
      <c r="Y3368" s="9"/>
      <c r="Z3368" s="9"/>
      <c r="AA3368" s="9"/>
    </row>
    <row r="3369">
      <c r="A3369" s="9"/>
      <c r="B3369" s="9"/>
      <c r="C3369" s="9"/>
      <c r="D3369" s="9"/>
      <c r="E3369" s="9"/>
      <c r="F3369" s="9"/>
      <c r="G3369" s="10"/>
      <c r="H3369" s="9"/>
      <c r="I3369" s="15"/>
      <c r="J3369" s="9"/>
      <c r="K3369" s="9"/>
      <c r="L3369" s="9"/>
      <c r="M3369" s="9"/>
      <c r="N3369" s="9"/>
      <c r="O3369" s="9"/>
      <c r="P3369" s="9"/>
      <c r="Q3369" s="9"/>
      <c r="R3369" s="9"/>
      <c r="S3369" s="9"/>
      <c r="T3369" s="9"/>
      <c r="U3369" s="9"/>
      <c r="V3369" s="9"/>
      <c r="W3369" s="9"/>
      <c r="X3369" s="9"/>
      <c r="Y3369" s="9"/>
      <c r="Z3369" s="9"/>
      <c r="AA3369" s="9"/>
    </row>
    <row r="3370">
      <c r="A3370" s="9"/>
      <c r="B3370" s="9"/>
      <c r="C3370" s="9"/>
      <c r="D3370" s="9"/>
      <c r="E3370" s="9"/>
      <c r="F3370" s="9"/>
      <c r="G3370" s="10"/>
      <c r="H3370" s="9"/>
      <c r="I3370" s="15"/>
      <c r="J3370" s="9"/>
      <c r="K3370" s="9"/>
      <c r="L3370" s="9"/>
      <c r="M3370" s="9"/>
      <c r="N3370" s="9"/>
      <c r="O3370" s="9"/>
      <c r="P3370" s="9"/>
      <c r="Q3370" s="9"/>
      <c r="R3370" s="9"/>
      <c r="S3370" s="9"/>
      <c r="T3370" s="9"/>
      <c r="U3370" s="9"/>
      <c r="V3370" s="9"/>
      <c r="W3370" s="9"/>
      <c r="X3370" s="9"/>
      <c r="Y3370" s="9"/>
      <c r="Z3370" s="9"/>
      <c r="AA3370" s="9"/>
    </row>
    <row r="3371">
      <c r="A3371" s="9"/>
      <c r="B3371" s="9"/>
      <c r="C3371" s="9"/>
      <c r="D3371" s="9"/>
      <c r="E3371" s="9"/>
      <c r="F3371" s="9"/>
      <c r="G3371" s="10"/>
      <c r="H3371" s="9"/>
      <c r="I3371" s="15"/>
      <c r="J3371" s="9"/>
      <c r="K3371" s="9"/>
      <c r="L3371" s="9"/>
      <c r="M3371" s="9"/>
      <c r="N3371" s="9"/>
      <c r="O3371" s="9"/>
      <c r="P3371" s="9"/>
      <c r="Q3371" s="9"/>
      <c r="R3371" s="9"/>
      <c r="S3371" s="9"/>
      <c r="T3371" s="9"/>
      <c r="U3371" s="9"/>
      <c r="V3371" s="9"/>
      <c r="W3371" s="9"/>
      <c r="X3371" s="9"/>
      <c r="Y3371" s="9"/>
      <c r="Z3371" s="9"/>
      <c r="AA3371" s="9"/>
    </row>
    <row r="3372">
      <c r="A3372" s="9"/>
      <c r="B3372" s="9"/>
      <c r="C3372" s="9"/>
      <c r="D3372" s="9"/>
      <c r="E3372" s="9"/>
      <c r="F3372" s="9"/>
      <c r="G3372" s="10"/>
      <c r="H3372" s="9"/>
      <c r="I3372" s="15"/>
      <c r="J3372" s="9"/>
      <c r="K3372" s="9"/>
      <c r="L3372" s="9"/>
      <c r="M3372" s="9"/>
      <c r="N3372" s="9"/>
      <c r="O3372" s="9"/>
      <c r="P3372" s="9"/>
      <c r="Q3372" s="9"/>
      <c r="R3372" s="9"/>
      <c r="S3372" s="9"/>
      <c r="T3372" s="9"/>
      <c r="U3372" s="9"/>
      <c r="V3372" s="9"/>
      <c r="W3372" s="9"/>
      <c r="X3372" s="9"/>
      <c r="Y3372" s="9"/>
      <c r="Z3372" s="9"/>
      <c r="AA3372" s="9"/>
    </row>
    <row r="3373">
      <c r="A3373" s="9"/>
      <c r="B3373" s="9"/>
      <c r="C3373" s="9"/>
      <c r="D3373" s="9"/>
      <c r="E3373" s="9"/>
      <c r="F3373" s="9"/>
      <c r="G3373" s="10"/>
      <c r="H3373" s="9"/>
      <c r="I3373" s="15"/>
      <c r="J3373" s="9"/>
      <c r="K3373" s="9"/>
      <c r="L3373" s="9"/>
      <c r="M3373" s="9"/>
      <c r="N3373" s="9"/>
      <c r="O3373" s="9"/>
      <c r="P3373" s="9"/>
      <c r="Q3373" s="9"/>
      <c r="R3373" s="9"/>
      <c r="S3373" s="9"/>
      <c r="T3373" s="9"/>
      <c r="U3373" s="9"/>
      <c r="V3373" s="9"/>
      <c r="W3373" s="9"/>
      <c r="X3373" s="9"/>
      <c r="Y3373" s="9"/>
      <c r="Z3373" s="9"/>
      <c r="AA3373" s="9"/>
    </row>
    <row r="3374">
      <c r="A3374" s="9"/>
      <c r="B3374" s="9"/>
      <c r="C3374" s="9"/>
      <c r="D3374" s="9"/>
      <c r="E3374" s="9"/>
      <c r="F3374" s="9"/>
      <c r="G3374" s="10"/>
      <c r="H3374" s="9"/>
      <c r="I3374" s="15"/>
      <c r="J3374" s="9"/>
      <c r="K3374" s="9"/>
      <c r="L3374" s="9"/>
      <c r="M3374" s="9"/>
      <c r="N3374" s="9"/>
      <c r="O3374" s="9"/>
      <c r="P3374" s="9"/>
      <c r="Q3374" s="9"/>
      <c r="R3374" s="9"/>
      <c r="S3374" s="9"/>
      <c r="T3374" s="9"/>
      <c r="U3374" s="9"/>
      <c r="V3374" s="9"/>
      <c r="W3374" s="9"/>
      <c r="X3374" s="9"/>
      <c r="Y3374" s="9"/>
      <c r="Z3374" s="9"/>
      <c r="AA3374" s="9"/>
    </row>
    <row r="3375">
      <c r="A3375" s="9"/>
      <c r="B3375" s="9"/>
      <c r="C3375" s="9"/>
      <c r="D3375" s="9"/>
      <c r="E3375" s="9"/>
      <c r="F3375" s="9"/>
      <c r="G3375" s="10"/>
      <c r="H3375" s="9"/>
      <c r="I3375" s="15"/>
      <c r="J3375" s="9"/>
      <c r="K3375" s="9"/>
      <c r="L3375" s="9"/>
      <c r="M3375" s="9"/>
      <c r="N3375" s="9"/>
      <c r="O3375" s="9"/>
      <c r="P3375" s="9"/>
      <c r="Q3375" s="9"/>
      <c r="R3375" s="9"/>
      <c r="S3375" s="9"/>
      <c r="T3375" s="9"/>
      <c r="U3375" s="9"/>
      <c r="V3375" s="9"/>
      <c r="W3375" s="9"/>
      <c r="X3375" s="9"/>
      <c r="Y3375" s="9"/>
      <c r="Z3375" s="9"/>
      <c r="AA3375" s="9"/>
    </row>
    <row r="3376">
      <c r="A3376" s="9"/>
      <c r="B3376" s="9"/>
      <c r="C3376" s="9"/>
      <c r="D3376" s="9"/>
      <c r="E3376" s="9"/>
      <c r="F3376" s="9"/>
      <c r="G3376" s="10"/>
      <c r="H3376" s="9"/>
      <c r="I3376" s="15"/>
      <c r="J3376" s="9"/>
      <c r="K3376" s="9"/>
      <c r="L3376" s="9"/>
      <c r="M3376" s="9"/>
      <c r="N3376" s="9"/>
      <c r="O3376" s="9"/>
      <c r="P3376" s="9"/>
      <c r="Q3376" s="9"/>
      <c r="R3376" s="9"/>
      <c r="S3376" s="9"/>
      <c r="T3376" s="9"/>
      <c r="U3376" s="9"/>
      <c r="V3376" s="9"/>
      <c r="W3376" s="9"/>
      <c r="X3376" s="9"/>
      <c r="Y3376" s="9"/>
      <c r="Z3376" s="9"/>
      <c r="AA3376" s="9"/>
    </row>
    <row r="3377">
      <c r="A3377" s="9"/>
      <c r="B3377" s="9"/>
      <c r="C3377" s="9"/>
      <c r="D3377" s="9"/>
      <c r="E3377" s="9"/>
      <c r="F3377" s="9"/>
      <c r="G3377" s="10"/>
      <c r="H3377" s="9"/>
      <c r="I3377" s="15"/>
      <c r="J3377" s="9"/>
      <c r="K3377" s="9"/>
      <c r="L3377" s="9"/>
      <c r="M3377" s="9"/>
      <c r="N3377" s="9"/>
      <c r="O3377" s="9"/>
      <c r="P3377" s="9"/>
      <c r="Q3377" s="9"/>
      <c r="R3377" s="9"/>
      <c r="S3377" s="9"/>
      <c r="T3377" s="9"/>
      <c r="U3377" s="9"/>
      <c r="V3377" s="9"/>
      <c r="W3377" s="9"/>
      <c r="X3377" s="9"/>
      <c r="Y3377" s="9"/>
      <c r="Z3377" s="9"/>
      <c r="AA3377" s="9"/>
    </row>
    <row r="3378">
      <c r="A3378" s="9"/>
      <c r="B3378" s="9"/>
      <c r="C3378" s="9"/>
      <c r="D3378" s="9"/>
      <c r="E3378" s="9"/>
      <c r="F3378" s="9"/>
      <c r="G3378" s="10"/>
      <c r="H3378" s="9"/>
      <c r="I3378" s="15"/>
      <c r="J3378" s="9"/>
      <c r="K3378" s="9"/>
      <c r="L3378" s="9"/>
      <c r="M3378" s="9"/>
      <c r="N3378" s="9"/>
      <c r="O3378" s="9"/>
      <c r="P3378" s="9"/>
      <c r="Q3378" s="9"/>
      <c r="R3378" s="9"/>
      <c r="S3378" s="9"/>
      <c r="T3378" s="9"/>
      <c r="U3378" s="9"/>
      <c r="V3378" s="9"/>
      <c r="W3378" s="9"/>
      <c r="X3378" s="9"/>
      <c r="Y3378" s="9"/>
      <c r="Z3378" s="9"/>
      <c r="AA3378" s="9"/>
    </row>
    <row r="3379">
      <c r="A3379" s="9"/>
      <c r="B3379" s="9"/>
      <c r="C3379" s="9"/>
      <c r="D3379" s="9"/>
      <c r="E3379" s="9"/>
      <c r="F3379" s="9"/>
      <c r="G3379" s="10"/>
      <c r="H3379" s="9"/>
      <c r="I3379" s="15"/>
      <c r="J3379" s="9"/>
      <c r="K3379" s="9"/>
      <c r="L3379" s="9"/>
      <c r="M3379" s="9"/>
      <c r="N3379" s="9"/>
      <c r="O3379" s="9"/>
      <c r="P3379" s="9"/>
      <c r="Q3379" s="9"/>
      <c r="R3379" s="9"/>
      <c r="S3379" s="9"/>
      <c r="T3379" s="9"/>
      <c r="U3379" s="9"/>
      <c r="V3379" s="9"/>
      <c r="W3379" s="9"/>
      <c r="X3379" s="9"/>
      <c r="Y3379" s="9"/>
      <c r="Z3379" s="9"/>
      <c r="AA3379" s="9"/>
    </row>
    <row r="3380">
      <c r="A3380" s="9"/>
      <c r="B3380" s="9"/>
      <c r="C3380" s="9"/>
      <c r="D3380" s="9"/>
      <c r="E3380" s="9"/>
      <c r="F3380" s="9"/>
      <c r="G3380" s="10"/>
      <c r="H3380" s="9"/>
      <c r="I3380" s="15"/>
      <c r="J3380" s="9"/>
      <c r="K3380" s="9"/>
      <c r="L3380" s="9"/>
      <c r="M3380" s="9"/>
      <c r="N3380" s="9"/>
      <c r="O3380" s="9"/>
      <c r="P3380" s="9"/>
      <c r="Q3380" s="9"/>
      <c r="R3380" s="9"/>
      <c r="S3380" s="9"/>
      <c r="T3380" s="9"/>
      <c r="U3380" s="9"/>
      <c r="V3380" s="9"/>
      <c r="W3380" s="9"/>
      <c r="X3380" s="9"/>
      <c r="Y3380" s="9"/>
      <c r="Z3380" s="9"/>
      <c r="AA3380" s="9"/>
    </row>
    <row r="3381">
      <c r="A3381" s="9"/>
      <c r="B3381" s="9"/>
      <c r="C3381" s="9"/>
      <c r="D3381" s="9"/>
      <c r="E3381" s="9"/>
      <c r="F3381" s="9"/>
      <c r="G3381" s="10"/>
      <c r="H3381" s="9"/>
      <c r="I3381" s="15"/>
      <c r="J3381" s="9"/>
      <c r="K3381" s="9"/>
      <c r="L3381" s="9"/>
      <c r="M3381" s="9"/>
      <c r="N3381" s="9"/>
      <c r="O3381" s="9"/>
      <c r="P3381" s="9"/>
      <c r="Q3381" s="9"/>
      <c r="R3381" s="9"/>
      <c r="S3381" s="9"/>
      <c r="T3381" s="9"/>
      <c r="U3381" s="9"/>
      <c r="V3381" s="9"/>
      <c r="W3381" s="9"/>
      <c r="X3381" s="9"/>
      <c r="Y3381" s="9"/>
      <c r="Z3381" s="9"/>
      <c r="AA3381" s="9"/>
    </row>
    <row r="3382">
      <c r="A3382" s="9"/>
      <c r="B3382" s="9"/>
      <c r="C3382" s="9"/>
      <c r="D3382" s="9"/>
      <c r="E3382" s="9"/>
      <c r="F3382" s="9"/>
      <c r="G3382" s="10"/>
      <c r="H3382" s="9"/>
      <c r="I3382" s="15"/>
      <c r="J3382" s="9"/>
      <c r="K3382" s="9"/>
      <c r="L3382" s="9"/>
      <c r="M3382" s="9"/>
      <c r="N3382" s="9"/>
      <c r="O3382" s="9"/>
      <c r="P3382" s="9"/>
      <c r="Q3382" s="9"/>
      <c r="R3382" s="9"/>
      <c r="S3382" s="9"/>
      <c r="T3382" s="9"/>
      <c r="U3382" s="9"/>
      <c r="V3382" s="9"/>
      <c r="W3382" s="9"/>
      <c r="X3382" s="9"/>
      <c r="Y3382" s="9"/>
      <c r="Z3382" s="9"/>
      <c r="AA3382" s="9"/>
    </row>
    <row r="3383">
      <c r="A3383" s="9"/>
      <c r="B3383" s="9"/>
      <c r="C3383" s="9"/>
      <c r="D3383" s="9"/>
      <c r="E3383" s="9"/>
      <c r="F3383" s="9"/>
      <c r="G3383" s="10"/>
      <c r="H3383" s="9"/>
      <c r="I3383" s="15"/>
      <c r="J3383" s="9"/>
      <c r="K3383" s="9"/>
      <c r="L3383" s="9"/>
      <c r="M3383" s="9"/>
      <c r="N3383" s="9"/>
      <c r="O3383" s="9"/>
      <c r="P3383" s="9"/>
      <c r="Q3383" s="9"/>
      <c r="R3383" s="9"/>
      <c r="S3383" s="9"/>
      <c r="T3383" s="9"/>
      <c r="U3383" s="9"/>
      <c r="V3383" s="9"/>
      <c r="W3383" s="9"/>
      <c r="X3383" s="9"/>
      <c r="Y3383" s="9"/>
      <c r="Z3383" s="9"/>
      <c r="AA3383" s="9"/>
    </row>
    <row r="3384">
      <c r="A3384" s="9"/>
      <c r="B3384" s="9"/>
      <c r="C3384" s="9"/>
      <c r="D3384" s="9"/>
      <c r="E3384" s="9"/>
      <c r="F3384" s="9"/>
      <c r="G3384" s="10"/>
      <c r="H3384" s="9"/>
      <c r="I3384" s="15"/>
      <c r="J3384" s="9"/>
      <c r="K3384" s="9"/>
      <c r="L3384" s="9"/>
      <c r="M3384" s="9"/>
      <c r="N3384" s="9"/>
      <c r="O3384" s="9"/>
      <c r="P3384" s="9"/>
      <c r="Q3384" s="9"/>
      <c r="R3384" s="9"/>
      <c r="S3384" s="9"/>
      <c r="T3384" s="9"/>
      <c r="U3384" s="9"/>
      <c r="V3384" s="9"/>
      <c r="W3384" s="9"/>
      <c r="X3384" s="9"/>
      <c r="Y3384" s="9"/>
      <c r="Z3384" s="9"/>
      <c r="AA3384" s="9"/>
    </row>
    <row r="3385">
      <c r="A3385" s="9"/>
      <c r="B3385" s="9"/>
      <c r="C3385" s="9"/>
      <c r="D3385" s="9"/>
      <c r="E3385" s="9"/>
      <c r="F3385" s="9"/>
      <c r="G3385" s="10"/>
      <c r="H3385" s="9"/>
      <c r="I3385" s="15"/>
      <c r="J3385" s="9"/>
      <c r="K3385" s="9"/>
      <c r="L3385" s="9"/>
      <c r="M3385" s="9"/>
      <c r="N3385" s="9"/>
      <c r="O3385" s="9"/>
      <c r="P3385" s="9"/>
      <c r="Q3385" s="9"/>
      <c r="R3385" s="9"/>
      <c r="S3385" s="9"/>
      <c r="T3385" s="9"/>
      <c r="U3385" s="9"/>
      <c r="V3385" s="9"/>
      <c r="W3385" s="9"/>
      <c r="X3385" s="9"/>
      <c r="Y3385" s="9"/>
      <c r="Z3385" s="9"/>
      <c r="AA3385" s="9"/>
    </row>
    <row r="3386">
      <c r="A3386" s="9"/>
      <c r="B3386" s="9"/>
      <c r="C3386" s="9"/>
      <c r="D3386" s="9"/>
      <c r="E3386" s="9"/>
      <c r="F3386" s="9"/>
      <c r="G3386" s="10"/>
      <c r="H3386" s="9"/>
      <c r="I3386" s="15"/>
      <c r="J3386" s="9"/>
      <c r="K3386" s="9"/>
      <c r="L3386" s="9"/>
      <c r="M3386" s="9"/>
      <c r="N3386" s="9"/>
      <c r="O3386" s="9"/>
      <c r="P3386" s="9"/>
      <c r="Q3386" s="9"/>
      <c r="R3386" s="9"/>
      <c r="S3386" s="9"/>
      <c r="T3386" s="9"/>
      <c r="U3386" s="9"/>
      <c r="V3386" s="9"/>
      <c r="W3386" s="9"/>
      <c r="X3386" s="9"/>
      <c r="Y3386" s="9"/>
      <c r="Z3386" s="9"/>
      <c r="AA3386" s="9"/>
    </row>
    <row r="3387">
      <c r="A3387" s="9"/>
      <c r="B3387" s="9"/>
      <c r="C3387" s="9"/>
      <c r="D3387" s="9"/>
      <c r="E3387" s="9"/>
      <c r="F3387" s="9"/>
      <c r="G3387" s="10"/>
      <c r="H3387" s="9"/>
      <c r="I3387" s="15"/>
      <c r="J3387" s="9"/>
      <c r="K3387" s="9"/>
      <c r="L3387" s="9"/>
      <c r="M3387" s="9"/>
      <c r="N3387" s="9"/>
      <c r="O3387" s="9"/>
      <c r="P3387" s="9"/>
      <c r="Q3387" s="9"/>
      <c r="R3387" s="9"/>
      <c r="S3387" s="9"/>
      <c r="T3387" s="9"/>
      <c r="U3387" s="9"/>
      <c r="V3387" s="9"/>
      <c r="W3387" s="9"/>
      <c r="X3387" s="9"/>
      <c r="Y3387" s="9"/>
      <c r="Z3387" s="9"/>
      <c r="AA3387" s="9"/>
    </row>
    <row r="3388">
      <c r="A3388" s="9"/>
      <c r="B3388" s="9"/>
      <c r="C3388" s="9"/>
      <c r="D3388" s="9"/>
      <c r="E3388" s="9"/>
      <c r="F3388" s="9"/>
      <c r="G3388" s="10"/>
      <c r="H3388" s="9"/>
      <c r="I3388" s="15"/>
      <c r="J3388" s="9"/>
      <c r="K3388" s="9"/>
      <c r="L3388" s="9"/>
      <c r="M3388" s="9"/>
      <c r="N3388" s="9"/>
      <c r="O3388" s="9"/>
      <c r="P3388" s="9"/>
      <c r="Q3388" s="9"/>
      <c r="R3388" s="9"/>
      <c r="S3388" s="9"/>
      <c r="T3388" s="9"/>
      <c r="U3388" s="9"/>
      <c r="V3388" s="9"/>
      <c r="W3388" s="9"/>
      <c r="X3388" s="9"/>
      <c r="Y3388" s="9"/>
      <c r="Z3388" s="9"/>
      <c r="AA3388" s="9"/>
    </row>
    <row r="3389">
      <c r="A3389" s="9"/>
      <c r="B3389" s="9"/>
      <c r="C3389" s="9"/>
      <c r="D3389" s="9"/>
      <c r="E3389" s="9"/>
      <c r="F3389" s="9"/>
      <c r="G3389" s="10"/>
      <c r="H3389" s="9"/>
      <c r="I3389" s="15"/>
      <c r="J3389" s="9"/>
      <c r="K3389" s="9"/>
      <c r="L3389" s="9"/>
      <c r="M3389" s="9"/>
      <c r="N3389" s="9"/>
      <c r="O3389" s="9"/>
      <c r="P3389" s="9"/>
      <c r="Q3389" s="9"/>
      <c r="R3389" s="9"/>
      <c r="S3389" s="9"/>
      <c r="T3389" s="9"/>
      <c r="U3389" s="9"/>
      <c r="V3389" s="9"/>
      <c r="W3389" s="9"/>
      <c r="X3389" s="9"/>
      <c r="Y3389" s="9"/>
      <c r="Z3389" s="9"/>
      <c r="AA3389" s="9"/>
    </row>
    <row r="3390">
      <c r="A3390" s="9"/>
      <c r="B3390" s="9"/>
      <c r="C3390" s="9"/>
      <c r="D3390" s="9"/>
      <c r="E3390" s="9"/>
      <c r="F3390" s="9"/>
      <c r="G3390" s="10"/>
      <c r="H3390" s="9"/>
      <c r="I3390" s="15"/>
      <c r="J3390" s="9"/>
      <c r="K3390" s="9"/>
      <c r="L3390" s="9"/>
      <c r="M3390" s="9"/>
      <c r="N3390" s="9"/>
      <c r="O3390" s="9"/>
      <c r="P3390" s="9"/>
      <c r="Q3390" s="9"/>
      <c r="R3390" s="9"/>
      <c r="S3390" s="9"/>
      <c r="T3390" s="9"/>
      <c r="U3390" s="9"/>
      <c r="V3390" s="9"/>
      <c r="W3390" s="9"/>
      <c r="X3390" s="9"/>
      <c r="Y3390" s="9"/>
      <c r="Z3390" s="9"/>
      <c r="AA3390" s="9"/>
    </row>
    <row r="3391">
      <c r="A3391" s="9"/>
      <c r="B3391" s="9"/>
      <c r="C3391" s="9"/>
      <c r="D3391" s="9"/>
      <c r="E3391" s="9"/>
      <c r="F3391" s="9"/>
      <c r="G3391" s="10"/>
      <c r="H3391" s="9"/>
      <c r="I3391" s="15"/>
      <c r="J3391" s="9"/>
      <c r="K3391" s="9"/>
      <c r="L3391" s="9"/>
      <c r="M3391" s="9"/>
      <c r="N3391" s="9"/>
      <c r="O3391" s="9"/>
      <c r="P3391" s="9"/>
      <c r="Q3391" s="9"/>
      <c r="R3391" s="9"/>
      <c r="S3391" s="9"/>
      <c r="T3391" s="9"/>
      <c r="U3391" s="9"/>
      <c r="V3391" s="9"/>
      <c r="W3391" s="9"/>
      <c r="X3391" s="9"/>
      <c r="Y3391" s="9"/>
      <c r="Z3391" s="9"/>
      <c r="AA3391" s="9"/>
    </row>
    <row r="3392">
      <c r="A3392" s="9"/>
      <c r="B3392" s="9"/>
      <c r="C3392" s="9"/>
      <c r="D3392" s="9"/>
      <c r="E3392" s="9"/>
      <c r="F3392" s="9"/>
      <c r="G3392" s="10"/>
      <c r="H3392" s="9"/>
      <c r="I3392" s="15"/>
      <c r="J3392" s="9"/>
      <c r="K3392" s="9"/>
      <c r="L3392" s="9"/>
      <c r="M3392" s="9"/>
      <c r="N3392" s="9"/>
      <c r="O3392" s="9"/>
      <c r="P3392" s="9"/>
      <c r="Q3392" s="9"/>
      <c r="R3392" s="9"/>
      <c r="S3392" s="9"/>
      <c r="T3392" s="9"/>
      <c r="U3392" s="9"/>
      <c r="V3392" s="9"/>
      <c r="W3392" s="9"/>
      <c r="X3392" s="9"/>
      <c r="Y3392" s="9"/>
      <c r="Z3392" s="9"/>
      <c r="AA3392" s="9"/>
    </row>
    <row r="3393">
      <c r="A3393" s="9"/>
      <c r="B3393" s="9"/>
      <c r="C3393" s="9"/>
      <c r="D3393" s="9"/>
      <c r="E3393" s="9"/>
      <c r="F3393" s="9"/>
      <c r="G3393" s="10"/>
      <c r="H3393" s="9"/>
      <c r="I3393" s="15"/>
      <c r="J3393" s="9"/>
      <c r="K3393" s="9"/>
      <c r="L3393" s="9"/>
      <c r="M3393" s="9"/>
      <c r="N3393" s="9"/>
      <c r="O3393" s="9"/>
      <c r="P3393" s="9"/>
      <c r="Q3393" s="9"/>
      <c r="R3393" s="9"/>
      <c r="S3393" s="9"/>
      <c r="T3393" s="9"/>
      <c r="U3393" s="9"/>
      <c r="V3393" s="9"/>
      <c r="W3393" s="9"/>
      <c r="X3393" s="9"/>
      <c r="Y3393" s="9"/>
      <c r="Z3393" s="9"/>
      <c r="AA3393" s="9"/>
    </row>
    <row r="3394">
      <c r="A3394" s="9"/>
      <c r="B3394" s="9"/>
      <c r="C3394" s="9"/>
      <c r="D3394" s="9"/>
      <c r="E3394" s="9"/>
      <c r="F3394" s="9"/>
      <c r="G3394" s="10"/>
      <c r="H3394" s="9"/>
      <c r="I3394" s="15"/>
      <c r="J3394" s="9"/>
      <c r="K3394" s="9"/>
      <c r="L3394" s="9"/>
      <c r="M3394" s="9"/>
      <c r="N3394" s="9"/>
      <c r="O3394" s="9"/>
      <c r="P3394" s="9"/>
      <c r="Q3394" s="9"/>
      <c r="R3394" s="9"/>
      <c r="S3394" s="9"/>
      <c r="T3394" s="9"/>
      <c r="U3394" s="9"/>
      <c r="V3394" s="9"/>
      <c r="W3394" s="9"/>
      <c r="X3394" s="9"/>
      <c r="Y3394" s="9"/>
      <c r="Z3394" s="9"/>
      <c r="AA3394" s="9"/>
    </row>
    <row r="3395">
      <c r="A3395" s="9"/>
      <c r="B3395" s="9"/>
      <c r="C3395" s="9"/>
      <c r="D3395" s="9"/>
      <c r="E3395" s="9"/>
      <c r="F3395" s="9"/>
      <c r="G3395" s="10"/>
      <c r="H3395" s="9"/>
      <c r="I3395" s="15"/>
      <c r="J3395" s="9"/>
      <c r="K3395" s="9"/>
      <c r="L3395" s="9"/>
      <c r="M3395" s="9"/>
      <c r="N3395" s="9"/>
      <c r="O3395" s="9"/>
      <c r="P3395" s="9"/>
      <c r="Q3395" s="9"/>
      <c r="R3395" s="9"/>
      <c r="S3395" s="9"/>
      <c r="T3395" s="9"/>
      <c r="U3395" s="9"/>
      <c r="V3395" s="9"/>
      <c r="W3395" s="9"/>
      <c r="X3395" s="9"/>
      <c r="Y3395" s="9"/>
      <c r="Z3395" s="9"/>
      <c r="AA3395" s="9"/>
    </row>
    <row r="3396">
      <c r="A3396" s="9"/>
      <c r="B3396" s="9"/>
      <c r="C3396" s="9"/>
      <c r="D3396" s="9"/>
      <c r="E3396" s="9"/>
      <c r="F3396" s="9"/>
      <c r="G3396" s="10"/>
      <c r="H3396" s="9"/>
      <c r="I3396" s="15"/>
      <c r="J3396" s="9"/>
      <c r="K3396" s="9"/>
      <c r="L3396" s="9"/>
      <c r="M3396" s="9"/>
      <c r="N3396" s="9"/>
      <c r="O3396" s="9"/>
      <c r="P3396" s="9"/>
      <c r="Q3396" s="9"/>
      <c r="R3396" s="9"/>
      <c r="S3396" s="9"/>
      <c r="T3396" s="9"/>
      <c r="U3396" s="9"/>
      <c r="V3396" s="9"/>
      <c r="W3396" s="9"/>
      <c r="X3396" s="9"/>
      <c r="Y3396" s="9"/>
      <c r="Z3396" s="9"/>
      <c r="AA3396" s="9"/>
    </row>
    <row r="3397">
      <c r="A3397" s="9"/>
      <c r="B3397" s="9"/>
      <c r="C3397" s="9"/>
      <c r="D3397" s="9"/>
      <c r="E3397" s="9"/>
      <c r="F3397" s="9"/>
      <c r="G3397" s="10"/>
      <c r="H3397" s="9"/>
      <c r="I3397" s="15"/>
      <c r="J3397" s="9"/>
      <c r="K3397" s="9"/>
      <c r="L3397" s="9"/>
      <c r="M3397" s="9"/>
      <c r="N3397" s="9"/>
      <c r="O3397" s="9"/>
      <c r="P3397" s="9"/>
      <c r="Q3397" s="9"/>
      <c r="R3397" s="9"/>
      <c r="S3397" s="9"/>
      <c r="T3397" s="9"/>
      <c r="U3397" s="9"/>
      <c r="V3397" s="9"/>
      <c r="W3397" s="9"/>
      <c r="X3397" s="9"/>
      <c r="Y3397" s="9"/>
      <c r="Z3397" s="9"/>
      <c r="AA3397" s="9"/>
    </row>
    <row r="3398">
      <c r="A3398" s="9"/>
      <c r="B3398" s="9"/>
      <c r="C3398" s="9"/>
      <c r="D3398" s="9"/>
      <c r="E3398" s="9"/>
      <c r="F3398" s="9"/>
      <c r="G3398" s="10"/>
      <c r="H3398" s="9"/>
      <c r="I3398" s="15"/>
      <c r="J3398" s="9"/>
      <c r="K3398" s="9"/>
      <c r="L3398" s="9"/>
      <c r="M3398" s="9"/>
      <c r="N3398" s="9"/>
      <c r="O3398" s="9"/>
      <c r="P3398" s="9"/>
      <c r="Q3398" s="9"/>
      <c r="R3398" s="9"/>
      <c r="S3398" s="9"/>
      <c r="T3398" s="9"/>
      <c r="U3398" s="9"/>
      <c r="V3398" s="9"/>
      <c r="W3398" s="9"/>
      <c r="X3398" s="9"/>
      <c r="Y3398" s="9"/>
      <c r="Z3398" s="9"/>
      <c r="AA3398" s="9"/>
    </row>
    <row r="3399">
      <c r="A3399" s="9"/>
      <c r="B3399" s="9"/>
      <c r="C3399" s="9"/>
      <c r="D3399" s="9"/>
      <c r="E3399" s="9"/>
      <c r="F3399" s="9"/>
      <c r="G3399" s="10"/>
      <c r="H3399" s="9"/>
      <c r="I3399" s="15"/>
      <c r="J3399" s="9"/>
      <c r="K3399" s="9"/>
      <c r="L3399" s="9"/>
      <c r="M3399" s="9"/>
      <c r="N3399" s="9"/>
      <c r="O3399" s="9"/>
      <c r="P3399" s="9"/>
      <c r="Q3399" s="9"/>
      <c r="R3399" s="9"/>
      <c r="S3399" s="9"/>
      <c r="T3399" s="9"/>
      <c r="U3399" s="9"/>
      <c r="V3399" s="9"/>
      <c r="W3399" s="9"/>
      <c r="X3399" s="9"/>
      <c r="Y3399" s="9"/>
      <c r="Z3399" s="9"/>
      <c r="AA3399" s="9"/>
    </row>
    <row r="3400">
      <c r="A3400" s="9"/>
      <c r="B3400" s="9"/>
      <c r="C3400" s="9"/>
      <c r="D3400" s="9"/>
      <c r="E3400" s="9"/>
      <c r="F3400" s="9"/>
      <c r="G3400" s="10"/>
      <c r="H3400" s="9"/>
      <c r="I3400" s="15"/>
      <c r="J3400" s="9"/>
      <c r="K3400" s="9"/>
      <c r="L3400" s="9"/>
      <c r="M3400" s="9"/>
      <c r="N3400" s="9"/>
      <c r="O3400" s="9"/>
      <c r="P3400" s="9"/>
      <c r="Q3400" s="9"/>
      <c r="R3400" s="9"/>
      <c r="S3400" s="9"/>
      <c r="T3400" s="9"/>
      <c r="U3400" s="9"/>
      <c r="V3400" s="9"/>
      <c r="W3400" s="9"/>
      <c r="X3400" s="9"/>
      <c r="Y3400" s="9"/>
      <c r="Z3400" s="9"/>
      <c r="AA3400" s="9"/>
    </row>
    <row r="3401">
      <c r="A3401" s="9"/>
      <c r="B3401" s="9"/>
      <c r="C3401" s="9"/>
      <c r="D3401" s="9"/>
      <c r="E3401" s="9"/>
      <c r="F3401" s="9"/>
      <c r="G3401" s="10"/>
      <c r="H3401" s="9"/>
      <c r="I3401" s="15"/>
      <c r="J3401" s="9"/>
      <c r="K3401" s="9"/>
      <c r="L3401" s="9"/>
      <c r="M3401" s="9"/>
      <c r="N3401" s="9"/>
      <c r="O3401" s="9"/>
      <c r="P3401" s="9"/>
      <c r="Q3401" s="9"/>
      <c r="R3401" s="9"/>
      <c r="S3401" s="9"/>
      <c r="T3401" s="9"/>
      <c r="U3401" s="9"/>
      <c r="V3401" s="9"/>
      <c r="W3401" s="9"/>
      <c r="X3401" s="9"/>
      <c r="Y3401" s="9"/>
      <c r="Z3401" s="9"/>
      <c r="AA3401" s="9"/>
    </row>
    <row r="3402">
      <c r="A3402" s="9"/>
      <c r="B3402" s="9"/>
      <c r="C3402" s="9"/>
      <c r="D3402" s="9"/>
      <c r="E3402" s="9"/>
      <c r="F3402" s="9"/>
      <c r="G3402" s="10"/>
      <c r="H3402" s="9"/>
      <c r="I3402" s="15"/>
      <c r="J3402" s="9"/>
      <c r="K3402" s="9"/>
      <c r="L3402" s="9"/>
      <c r="M3402" s="9"/>
      <c r="N3402" s="9"/>
      <c r="O3402" s="9"/>
      <c r="P3402" s="9"/>
      <c r="Q3402" s="9"/>
      <c r="R3402" s="9"/>
      <c r="S3402" s="9"/>
      <c r="T3402" s="9"/>
      <c r="U3402" s="9"/>
      <c r="V3402" s="9"/>
      <c r="W3402" s="9"/>
      <c r="X3402" s="9"/>
      <c r="Y3402" s="9"/>
      <c r="Z3402" s="9"/>
      <c r="AA3402" s="9"/>
    </row>
    <row r="3403">
      <c r="A3403" s="9"/>
      <c r="B3403" s="9"/>
      <c r="C3403" s="9"/>
      <c r="D3403" s="9"/>
      <c r="E3403" s="9"/>
      <c r="F3403" s="9"/>
      <c r="G3403" s="10"/>
      <c r="H3403" s="9"/>
      <c r="I3403" s="15"/>
      <c r="J3403" s="9"/>
      <c r="K3403" s="9"/>
      <c r="L3403" s="9"/>
      <c r="M3403" s="9"/>
      <c r="N3403" s="9"/>
      <c r="O3403" s="9"/>
      <c r="P3403" s="9"/>
      <c r="Q3403" s="9"/>
      <c r="R3403" s="9"/>
      <c r="S3403" s="9"/>
      <c r="T3403" s="9"/>
      <c r="U3403" s="9"/>
      <c r="V3403" s="9"/>
      <c r="W3403" s="9"/>
      <c r="X3403" s="9"/>
      <c r="Y3403" s="9"/>
      <c r="Z3403" s="9"/>
      <c r="AA3403" s="9"/>
    </row>
    <row r="3404">
      <c r="A3404" s="9"/>
      <c r="B3404" s="9"/>
      <c r="C3404" s="9"/>
      <c r="D3404" s="9"/>
      <c r="E3404" s="9"/>
      <c r="F3404" s="9"/>
      <c r="G3404" s="10"/>
      <c r="H3404" s="9"/>
      <c r="I3404" s="15"/>
      <c r="J3404" s="9"/>
      <c r="K3404" s="9"/>
      <c r="L3404" s="9"/>
      <c r="M3404" s="9"/>
      <c r="N3404" s="9"/>
      <c r="O3404" s="9"/>
      <c r="P3404" s="9"/>
      <c r="Q3404" s="9"/>
      <c r="R3404" s="9"/>
      <c r="S3404" s="9"/>
      <c r="T3404" s="9"/>
      <c r="U3404" s="9"/>
      <c r="V3404" s="9"/>
      <c r="W3404" s="9"/>
      <c r="X3404" s="9"/>
      <c r="Y3404" s="9"/>
      <c r="Z3404" s="9"/>
      <c r="AA3404" s="9"/>
    </row>
    <row r="3405">
      <c r="A3405" s="9"/>
      <c r="B3405" s="9"/>
      <c r="C3405" s="9"/>
      <c r="D3405" s="9"/>
      <c r="E3405" s="9"/>
      <c r="F3405" s="9"/>
      <c r="G3405" s="10"/>
      <c r="H3405" s="9"/>
      <c r="I3405" s="15"/>
      <c r="J3405" s="9"/>
      <c r="K3405" s="9"/>
      <c r="L3405" s="9"/>
      <c r="M3405" s="9"/>
      <c r="N3405" s="9"/>
      <c r="O3405" s="9"/>
      <c r="P3405" s="9"/>
      <c r="Q3405" s="9"/>
      <c r="R3405" s="9"/>
      <c r="S3405" s="9"/>
      <c r="T3405" s="9"/>
      <c r="U3405" s="9"/>
      <c r="V3405" s="9"/>
      <c r="W3405" s="9"/>
      <c r="X3405" s="9"/>
      <c r="Y3405" s="9"/>
      <c r="Z3405" s="9"/>
      <c r="AA3405" s="9"/>
    </row>
    <row r="3406">
      <c r="A3406" s="9"/>
      <c r="B3406" s="9"/>
      <c r="C3406" s="9"/>
      <c r="D3406" s="9"/>
      <c r="E3406" s="9"/>
      <c r="F3406" s="9"/>
      <c r="G3406" s="10"/>
      <c r="H3406" s="9"/>
      <c r="I3406" s="15"/>
      <c r="J3406" s="9"/>
      <c r="K3406" s="9"/>
      <c r="L3406" s="9"/>
      <c r="M3406" s="9"/>
      <c r="N3406" s="9"/>
      <c r="O3406" s="9"/>
      <c r="P3406" s="9"/>
      <c r="Q3406" s="9"/>
      <c r="R3406" s="9"/>
      <c r="S3406" s="9"/>
      <c r="T3406" s="9"/>
      <c r="U3406" s="9"/>
      <c r="V3406" s="9"/>
      <c r="W3406" s="9"/>
      <c r="X3406" s="9"/>
      <c r="Y3406" s="9"/>
      <c r="Z3406" s="9"/>
      <c r="AA3406" s="9"/>
    </row>
    <row r="3407">
      <c r="A3407" s="9"/>
      <c r="B3407" s="9"/>
      <c r="C3407" s="9"/>
      <c r="D3407" s="9"/>
      <c r="E3407" s="9"/>
      <c r="F3407" s="9"/>
      <c r="G3407" s="10"/>
      <c r="H3407" s="9"/>
      <c r="I3407" s="15"/>
      <c r="J3407" s="9"/>
      <c r="K3407" s="9"/>
      <c r="L3407" s="9"/>
      <c r="M3407" s="9"/>
      <c r="N3407" s="9"/>
      <c r="O3407" s="9"/>
      <c r="P3407" s="9"/>
      <c r="Q3407" s="9"/>
      <c r="R3407" s="9"/>
      <c r="S3407" s="9"/>
      <c r="T3407" s="9"/>
      <c r="U3407" s="9"/>
      <c r="V3407" s="9"/>
      <c r="W3407" s="9"/>
      <c r="X3407" s="9"/>
      <c r="Y3407" s="9"/>
      <c r="Z3407" s="9"/>
      <c r="AA3407" s="9"/>
    </row>
    <row r="3408">
      <c r="A3408" s="9"/>
      <c r="B3408" s="9"/>
      <c r="C3408" s="9"/>
      <c r="D3408" s="9"/>
      <c r="E3408" s="9"/>
      <c r="F3408" s="9"/>
      <c r="G3408" s="10"/>
      <c r="H3408" s="9"/>
      <c r="I3408" s="15"/>
      <c r="J3408" s="9"/>
      <c r="K3408" s="9"/>
      <c r="L3408" s="9"/>
      <c r="M3408" s="9"/>
      <c r="N3408" s="9"/>
      <c r="O3408" s="9"/>
      <c r="P3408" s="9"/>
      <c r="Q3408" s="9"/>
      <c r="R3408" s="9"/>
      <c r="S3408" s="9"/>
      <c r="T3408" s="9"/>
      <c r="U3408" s="9"/>
      <c r="V3408" s="9"/>
      <c r="W3408" s="9"/>
      <c r="X3408" s="9"/>
      <c r="Y3408" s="9"/>
      <c r="Z3408" s="9"/>
      <c r="AA3408" s="9"/>
    </row>
    <row r="3409">
      <c r="A3409" s="9"/>
      <c r="B3409" s="9"/>
      <c r="C3409" s="9"/>
      <c r="D3409" s="9"/>
      <c r="E3409" s="9"/>
      <c r="F3409" s="9"/>
      <c r="G3409" s="10"/>
      <c r="H3409" s="9"/>
      <c r="I3409" s="15"/>
      <c r="J3409" s="9"/>
      <c r="K3409" s="9"/>
      <c r="L3409" s="9"/>
      <c r="M3409" s="9"/>
      <c r="N3409" s="9"/>
      <c r="O3409" s="9"/>
      <c r="P3409" s="9"/>
      <c r="Q3409" s="9"/>
      <c r="R3409" s="9"/>
      <c r="S3409" s="9"/>
      <c r="T3409" s="9"/>
      <c r="U3409" s="9"/>
      <c r="V3409" s="9"/>
      <c r="W3409" s="9"/>
      <c r="X3409" s="9"/>
      <c r="Y3409" s="9"/>
      <c r="Z3409" s="9"/>
      <c r="AA3409" s="9"/>
    </row>
    <row r="3410">
      <c r="A3410" s="9"/>
      <c r="B3410" s="9"/>
      <c r="C3410" s="9"/>
      <c r="D3410" s="9"/>
      <c r="E3410" s="9"/>
      <c r="F3410" s="9"/>
      <c r="G3410" s="10"/>
      <c r="H3410" s="9"/>
      <c r="I3410" s="15"/>
      <c r="J3410" s="9"/>
      <c r="K3410" s="9"/>
      <c r="L3410" s="9"/>
      <c r="M3410" s="9"/>
      <c r="N3410" s="9"/>
      <c r="O3410" s="9"/>
      <c r="P3410" s="9"/>
      <c r="Q3410" s="9"/>
      <c r="R3410" s="9"/>
      <c r="S3410" s="9"/>
      <c r="T3410" s="9"/>
      <c r="U3410" s="9"/>
      <c r="V3410" s="9"/>
      <c r="W3410" s="9"/>
      <c r="X3410" s="9"/>
      <c r="Y3410" s="9"/>
      <c r="Z3410" s="9"/>
      <c r="AA3410" s="9"/>
    </row>
    <row r="3411">
      <c r="A3411" s="9"/>
      <c r="B3411" s="9"/>
      <c r="C3411" s="9"/>
      <c r="D3411" s="9"/>
      <c r="E3411" s="9"/>
      <c r="F3411" s="9"/>
      <c r="G3411" s="10"/>
      <c r="H3411" s="9"/>
      <c r="I3411" s="15"/>
      <c r="J3411" s="9"/>
      <c r="K3411" s="9"/>
      <c r="L3411" s="9"/>
      <c r="M3411" s="9"/>
      <c r="N3411" s="9"/>
      <c r="O3411" s="9"/>
      <c r="P3411" s="9"/>
      <c r="Q3411" s="9"/>
      <c r="R3411" s="9"/>
      <c r="S3411" s="9"/>
      <c r="T3411" s="9"/>
      <c r="U3411" s="9"/>
      <c r="V3411" s="9"/>
      <c r="W3411" s="9"/>
      <c r="X3411" s="9"/>
      <c r="Y3411" s="9"/>
      <c r="Z3411" s="9"/>
      <c r="AA3411" s="9"/>
    </row>
    <row r="3412">
      <c r="A3412" s="9"/>
      <c r="B3412" s="9"/>
      <c r="C3412" s="9"/>
      <c r="D3412" s="9"/>
      <c r="E3412" s="9"/>
      <c r="F3412" s="9"/>
      <c r="G3412" s="10"/>
      <c r="H3412" s="9"/>
      <c r="I3412" s="15"/>
      <c r="J3412" s="9"/>
      <c r="K3412" s="9"/>
      <c r="L3412" s="9"/>
      <c r="M3412" s="9"/>
      <c r="N3412" s="9"/>
      <c r="O3412" s="9"/>
      <c r="P3412" s="9"/>
      <c r="Q3412" s="9"/>
      <c r="R3412" s="9"/>
      <c r="S3412" s="9"/>
      <c r="T3412" s="9"/>
      <c r="U3412" s="9"/>
      <c r="V3412" s="9"/>
      <c r="W3412" s="9"/>
      <c r="X3412" s="9"/>
      <c r="Y3412" s="9"/>
      <c r="Z3412" s="9"/>
      <c r="AA3412" s="9"/>
    </row>
    <row r="3413">
      <c r="A3413" s="9"/>
      <c r="B3413" s="9"/>
      <c r="C3413" s="9"/>
      <c r="D3413" s="9"/>
      <c r="E3413" s="9"/>
      <c r="F3413" s="9"/>
      <c r="G3413" s="10"/>
      <c r="H3413" s="9"/>
      <c r="I3413" s="15"/>
      <c r="J3413" s="9"/>
      <c r="K3413" s="9"/>
      <c r="L3413" s="9"/>
      <c r="M3413" s="9"/>
      <c r="N3413" s="9"/>
      <c r="O3413" s="9"/>
      <c r="P3413" s="9"/>
      <c r="Q3413" s="9"/>
      <c r="R3413" s="9"/>
      <c r="S3413" s="9"/>
      <c r="T3413" s="9"/>
      <c r="U3413" s="9"/>
      <c r="V3413" s="9"/>
      <c r="W3413" s="9"/>
      <c r="X3413" s="9"/>
      <c r="Y3413" s="9"/>
      <c r="Z3413" s="9"/>
      <c r="AA3413" s="9"/>
    </row>
    <row r="3414">
      <c r="A3414" s="9"/>
      <c r="B3414" s="9"/>
      <c r="C3414" s="9"/>
      <c r="D3414" s="9"/>
      <c r="E3414" s="9"/>
      <c r="F3414" s="9"/>
      <c r="G3414" s="10"/>
      <c r="H3414" s="9"/>
      <c r="I3414" s="15"/>
      <c r="J3414" s="9"/>
      <c r="K3414" s="9"/>
      <c r="L3414" s="9"/>
      <c r="M3414" s="9"/>
      <c r="N3414" s="9"/>
      <c r="O3414" s="9"/>
      <c r="P3414" s="9"/>
      <c r="Q3414" s="9"/>
      <c r="R3414" s="9"/>
      <c r="S3414" s="9"/>
      <c r="T3414" s="9"/>
      <c r="U3414" s="9"/>
      <c r="V3414" s="9"/>
      <c r="W3414" s="9"/>
      <c r="X3414" s="9"/>
      <c r="Y3414" s="9"/>
      <c r="Z3414" s="9"/>
      <c r="AA3414" s="9"/>
    </row>
    <row r="3415">
      <c r="A3415" s="9"/>
      <c r="B3415" s="9"/>
      <c r="C3415" s="9"/>
      <c r="D3415" s="9"/>
      <c r="E3415" s="9"/>
      <c r="F3415" s="9"/>
      <c r="G3415" s="10"/>
      <c r="H3415" s="9"/>
      <c r="I3415" s="15"/>
      <c r="J3415" s="9"/>
      <c r="K3415" s="9"/>
      <c r="L3415" s="9"/>
      <c r="M3415" s="9"/>
      <c r="N3415" s="9"/>
      <c r="O3415" s="9"/>
      <c r="P3415" s="9"/>
      <c r="Q3415" s="9"/>
      <c r="R3415" s="9"/>
      <c r="S3415" s="9"/>
      <c r="T3415" s="9"/>
      <c r="U3415" s="9"/>
      <c r="V3415" s="9"/>
      <c r="W3415" s="9"/>
      <c r="X3415" s="9"/>
      <c r="Y3415" s="9"/>
      <c r="Z3415" s="9"/>
      <c r="AA3415" s="9"/>
    </row>
    <row r="3416">
      <c r="A3416" s="9"/>
      <c r="B3416" s="9"/>
      <c r="C3416" s="9"/>
      <c r="D3416" s="9"/>
      <c r="E3416" s="9"/>
      <c r="F3416" s="9"/>
      <c r="G3416" s="10"/>
      <c r="H3416" s="9"/>
      <c r="I3416" s="15"/>
      <c r="J3416" s="9"/>
      <c r="K3416" s="9"/>
      <c r="L3416" s="9"/>
      <c r="M3416" s="9"/>
      <c r="N3416" s="9"/>
      <c r="O3416" s="9"/>
      <c r="P3416" s="9"/>
      <c r="Q3416" s="9"/>
      <c r="R3416" s="9"/>
      <c r="S3416" s="9"/>
      <c r="T3416" s="9"/>
      <c r="U3416" s="9"/>
      <c r="V3416" s="9"/>
      <c r="W3416" s="9"/>
      <c r="X3416" s="9"/>
      <c r="Y3416" s="9"/>
      <c r="Z3416" s="9"/>
      <c r="AA3416" s="9"/>
    </row>
    <row r="3417">
      <c r="A3417" s="9"/>
      <c r="B3417" s="9"/>
      <c r="C3417" s="9"/>
      <c r="D3417" s="9"/>
      <c r="E3417" s="9"/>
      <c r="F3417" s="9"/>
      <c r="G3417" s="10"/>
      <c r="H3417" s="9"/>
      <c r="I3417" s="15"/>
      <c r="J3417" s="9"/>
      <c r="K3417" s="9"/>
      <c r="L3417" s="9"/>
      <c r="M3417" s="9"/>
      <c r="N3417" s="9"/>
      <c r="O3417" s="9"/>
      <c r="P3417" s="9"/>
      <c r="Q3417" s="9"/>
      <c r="R3417" s="9"/>
      <c r="S3417" s="9"/>
      <c r="T3417" s="9"/>
      <c r="U3417" s="9"/>
      <c r="V3417" s="9"/>
      <c r="W3417" s="9"/>
      <c r="X3417" s="9"/>
      <c r="Y3417" s="9"/>
      <c r="Z3417" s="9"/>
      <c r="AA3417" s="9"/>
    </row>
    <row r="3418">
      <c r="A3418" s="9"/>
      <c r="B3418" s="9"/>
      <c r="C3418" s="9"/>
      <c r="D3418" s="9"/>
      <c r="E3418" s="9"/>
      <c r="F3418" s="9"/>
      <c r="G3418" s="10"/>
      <c r="H3418" s="9"/>
      <c r="I3418" s="15"/>
      <c r="J3418" s="9"/>
      <c r="K3418" s="9"/>
      <c r="L3418" s="9"/>
      <c r="M3418" s="9"/>
      <c r="N3418" s="9"/>
      <c r="O3418" s="9"/>
      <c r="P3418" s="9"/>
      <c r="Q3418" s="9"/>
      <c r="R3418" s="9"/>
      <c r="S3418" s="9"/>
      <c r="T3418" s="9"/>
      <c r="U3418" s="9"/>
      <c r="V3418" s="9"/>
      <c r="W3418" s="9"/>
      <c r="X3418" s="9"/>
      <c r="Y3418" s="9"/>
      <c r="Z3418" s="9"/>
      <c r="AA3418" s="9"/>
    </row>
    <row r="3419">
      <c r="A3419" s="9"/>
      <c r="B3419" s="9"/>
      <c r="C3419" s="9"/>
      <c r="D3419" s="9"/>
      <c r="E3419" s="9"/>
      <c r="F3419" s="9"/>
      <c r="G3419" s="10"/>
      <c r="H3419" s="9"/>
      <c r="I3419" s="15"/>
      <c r="J3419" s="9"/>
      <c r="K3419" s="9"/>
      <c r="L3419" s="9"/>
      <c r="M3419" s="9"/>
      <c r="N3419" s="9"/>
      <c r="O3419" s="9"/>
      <c r="P3419" s="9"/>
      <c r="Q3419" s="9"/>
      <c r="R3419" s="9"/>
      <c r="S3419" s="9"/>
      <c r="T3419" s="9"/>
      <c r="U3419" s="9"/>
      <c r="V3419" s="9"/>
      <c r="W3419" s="9"/>
      <c r="X3419" s="9"/>
      <c r="Y3419" s="9"/>
      <c r="Z3419" s="9"/>
      <c r="AA3419" s="9"/>
    </row>
    <row r="3420">
      <c r="A3420" s="9"/>
      <c r="B3420" s="9"/>
      <c r="C3420" s="9"/>
      <c r="D3420" s="9"/>
      <c r="E3420" s="9"/>
      <c r="F3420" s="9"/>
      <c r="G3420" s="10"/>
      <c r="H3420" s="9"/>
      <c r="I3420" s="15"/>
      <c r="J3420" s="9"/>
      <c r="K3420" s="9"/>
      <c r="L3420" s="9"/>
      <c r="M3420" s="9"/>
      <c r="N3420" s="9"/>
      <c r="O3420" s="9"/>
      <c r="P3420" s="9"/>
      <c r="Q3420" s="9"/>
      <c r="R3420" s="9"/>
      <c r="S3420" s="9"/>
      <c r="T3420" s="9"/>
      <c r="U3420" s="9"/>
      <c r="V3420" s="9"/>
      <c r="W3420" s="9"/>
      <c r="X3420" s="9"/>
      <c r="Y3420" s="9"/>
      <c r="Z3420" s="9"/>
      <c r="AA3420" s="9"/>
    </row>
    <row r="3421">
      <c r="A3421" s="9"/>
      <c r="B3421" s="9"/>
      <c r="C3421" s="9"/>
      <c r="D3421" s="9"/>
      <c r="E3421" s="9"/>
      <c r="F3421" s="9"/>
      <c r="G3421" s="10"/>
      <c r="H3421" s="9"/>
      <c r="I3421" s="15"/>
      <c r="J3421" s="9"/>
      <c r="K3421" s="9"/>
      <c r="L3421" s="9"/>
      <c r="M3421" s="9"/>
      <c r="N3421" s="9"/>
      <c r="O3421" s="9"/>
      <c r="P3421" s="9"/>
      <c r="Q3421" s="9"/>
      <c r="R3421" s="9"/>
      <c r="S3421" s="9"/>
      <c r="T3421" s="9"/>
      <c r="U3421" s="9"/>
      <c r="V3421" s="9"/>
      <c r="W3421" s="9"/>
      <c r="X3421" s="9"/>
      <c r="Y3421" s="9"/>
      <c r="Z3421" s="9"/>
      <c r="AA3421" s="9"/>
    </row>
    <row r="3422">
      <c r="A3422" s="9"/>
      <c r="B3422" s="9"/>
      <c r="C3422" s="9"/>
      <c r="D3422" s="9"/>
      <c r="E3422" s="9"/>
      <c r="F3422" s="9"/>
      <c r="G3422" s="10"/>
      <c r="H3422" s="9"/>
      <c r="I3422" s="15"/>
      <c r="J3422" s="9"/>
      <c r="K3422" s="9"/>
      <c r="L3422" s="9"/>
      <c r="M3422" s="9"/>
      <c r="N3422" s="9"/>
      <c r="O3422" s="9"/>
      <c r="P3422" s="9"/>
      <c r="Q3422" s="9"/>
      <c r="R3422" s="9"/>
      <c r="S3422" s="9"/>
      <c r="T3422" s="9"/>
      <c r="U3422" s="9"/>
      <c r="V3422" s="9"/>
      <c r="W3422" s="9"/>
      <c r="X3422" s="9"/>
      <c r="Y3422" s="9"/>
      <c r="Z3422" s="9"/>
      <c r="AA3422" s="9"/>
    </row>
    <row r="3423">
      <c r="A3423" s="9"/>
      <c r="B3423" s="9"/>
      <c r="C3423" s="9"/>
      <c r="D3423" s="9"/>
      <c r="E3423" s="9"/>
      <c r="F3423" s="9"/>
      <c r="G3423" s="10"/>
      <c r="H3423" s="9"/>
      <c r="I3423" s="15"/>
      <c r="J3423" s="9"/>
      <c r="K3423" s="9"/>
      <c r="L3423" s="9"/>
      <c r="M3423" s="9"/>
      <c r="N3423" s="9"/>
      <c r="O3423" s="9"/>
      <c r="P3423" s="9"/>
      <c r="Q3423" s="9"/>
      <c r="R3423" s="9"/>
      <c r="S3423" s="9"/>
      <c r="T3423" s="9"/>
      <c r="U3423" s="9"/>
      <c r="V3423" s="9"/>
      <c r="W3423" s="9"/>
      <c r="X3423" s="9"/>
      <c r="Y3423" s="9"/>
      <c r="Z3423" s="9"/>
      <c r="AA3423" s="9"/>
    </row>
    <row r="3424">
      <c r="A3424" s="9"/>
      <c r="B3424" s="9"/>
      <c r="C3424" s="9"/>
      <c r="D3424" s="9"/>
      <c r="E3424" s="9"/>
      <c r="F3424" s="9"/>
      <c r="G3424" s="10"/>
      <c r="H3424" s="9"/>
      <c r="I3424" s="15"/>
      <c r="J3424" s="9"/>
      <c r="K3424" s="9"/>
      <c r="L3424" s="9"/>
      <c r="M3424" s="9"/>
      <c r="N3424" s="9"/>
      <c r="O3424" s="9"/>
      <c r="P3424" s="9"/>
      <c r="Q3424" s="9"/>
      <c r="R3424" s="9"/>
      <c r="S3424" s="9"/>
      <c r="T3424" s="9"/>
      <c r="U3424" s="9"/>
      <c r="V3424" s="9"/>
      <c r="W3424" s="9"/>
      <c r="X3424" s="9"/>
      <c r="Y3424" s="9"/>
      <c r="Z3424" s="9"/>
      <c r="AA3424" s="9"/>
    </row>
    <row r="3425">
      <c r="A3425" s="9"/>
      <c r="B3425" s="9"/>
      <c r="C3425" s="9"/>
      <c r="D3425" s="9"/>
      <c r="E3425" s="9"/>
      <c r="F3425" s="9"/>
      <c r="G3425" s="10"/>
      <c r="H3425" s="9"/>
      <c r="I3425" s="15"/>
      <c r="J3425" s="9"/>
      <c r="K3425" s="9"/>
      <c r="L3425" s="9"/>
      <c r="M3425" s="9"/>
      <c r="N3425" s="9"/>
      <c r="O3425" s="9"/>
      <c r="P3425" s="9"/>
      <c r="Q3425" s="9"/>
      <c r="R3425" s="9"/>
      <c r="S3425" s="9"/>
      <c r="T3425" s="9"/>
      <c r="U3425" s="9"/>
      <c r="V3425" s="9"/>
      <c r="W3425" s="9"/>
      <c r="X3425" s="9"/>
      <c r="Y3425" s="9"/>
      <c r="Z3425" s="9"/>
      <c r="AA3425" s="9"/>
    </row>
    <row r="3426">
      <c r="A3426" s="9"/>
      <c r="B3426" s="9"/>
      <c r="C3426" s="9"/>
      <c r="D3426" s="9"/>
      <c r="E3426" s="9"/>
      <c r="F3426" s="9"/>
      <c r="G3426" s="10"/>
      <c r="H3426" s="9"/>
      <c r="I3426" s="15"/>
      <c r="J3426" s="9"/>
      <c r="K3426" s="9"/>
      <c r="L3426" s="9"/>
      <c r="M3426" s="9"/>
      <c r="N3426" s="9"/>
      <c r="O3426" s="9"/>
      <c r="P3426" s="9"/>
      <c r="Q3426" s="9"/>
      <c r="R3426" s="9"/>
      <c r="S3426" s="9"/>
      <c r="T3426" s="9"/>
      <c r="U3426" s="9"/>
      <c r="V3426" s="9"/>
      <c r="W3426" s="9"/>
      <c r="X3426" s="9"/>
      <c r="Y3426" s="9"/>
      <c r="Z3426" s="9"/>
      <c r="AA3426" s="9"/>
    </row>
    <row r="3427">
      <c r="A3427" s="9"/>
      <c r="B3427" s="9"/>
      <c r="C3427" s="9"/>
      <c r="D3427" s="9"/>
      <c r="E3427" s="9"/>
      <c r="F3427" s="9"/>
      <c r="G3427" s="10"/>
      <c r="H3427" s="9"/>
      <c r="I3427" s="15"/>
      <c r="J3427" s="9"/>
      <c r="K3427" s="9"/>
      <c r="L3427" s="9"/>
      <c r="M3427" s="9"/>
      <c r="N3427" s="9"/>
      <c r="O3427" s="9"/>
      <c r="P3427" s="9"/>
      <c r="Q3427" s="9"/>
      <c r="R3427" s="9"/>
      <c r="S3427" s="9"/>
      <c r="T3427" s="9"/>
      <c r="U3427" s="9"/>
      <c r="V3427" s="9"/>
      <c r="W3427" s="9"/>
      <c r="X3427" s="9"/>
      <c r="Y3427" s="9"/>
      <c r="Z3427" s="9"/>
      <c r="AA3427" s="9"/>
    </row>
    <row r="3428">
      <c r="A3428" s="9"/>
      <c r="B3428" s="9"/>
      <c r="C3428" s="9"/>
      <c r="D3428" s="9"/>
      <c r="E3428" s="9"/>
      <c r="F3428" s="9"/>
      <c r="G3428" s="10"/>
      <c r="H3428" s="9"/>
      <c r="I3428" s="15"/>
      <c r="J3428" s="9"/>
      <c r="K3428" s="9"/>
      <c r="L3428" s="9"/>
      <c r="M3428" s="9"/>
      <c r="N3428" s="9"/>
      <c r="O3428" s="9"/>
      <c r="P3428" s="9"/>
      <c r="Q3428" s="9"/>
      <c r="R3428" s="9"/>
      <c r="S3428" s="9"/>
      <c r="T3428" s="9"/>
      <c r="U3428" s="9"/>
      <c r="V3428" s="9"/>
      <c r="W3428" s="9"/>
      <c r="X3428" s="9"/>
      <c r="Y3428" s="9"/>
      <c r="Z3428" s="9"/>
      <c r="AA3428" s="9"/>
    </row>
    <row r="3429">
      <c r="A3429" s="9"/>
      <c r="B3429" s="9"/>
      <c r="C3429" s="9"/>
      <c r="D3429" s="9"/>
      <c r="E3429" s="9"/>
      <c r="F3429" s="9"/>
      <c r="G3429" s="10"/>
      <c r="H3429" s="9"/>
      <c r="I3429" s="15"/>
      <c r="J3429" s="9"/>
      <c r="K3429" s="9"/>
      <c r="L3429" s="9"/>
      <c r="M3429" s="9"/>
      <c r="N3429" s="9"/>
      <c r="O3429" s="9"/>
      <c r="P3429" s="9"/>
      <c r="Q3429" s="9"/>
      <c r="R3429" s="9"/>
      <c r="S3429" s="9"/>
      <c r="T3429" s="9"/>
      <c r="U3429" s="9"/>
      <c r="V3429" s="9"/>
      <c r="W3429" s="9"/>
      <c r="X3429" s="9"/>
      <c r="Y3429" s="9"/>
      <c r="Z3429" s="9"/>
      <c r="AA3429" s="9"/>
    </row>
    <row r="3430">
      <c r="A3430" s="9"/>
      <c r="B3430" s="9"/>
      <c r="C3430" s="9"/>
      <c r="D3430" s="9"/>
      <c r="E3430" s="9"/>
      <c r="F3430" s="9"/>
      <c r="G3430" s="10"/>
      <c r="H3430" s="9"/>
      <c r="I3430" s="15"/>
      <c r="J3430" s="9"/>
      <c r="K3430" s="9"/>
      <c r="L3430" s="9"/>
      <c r="M3430" s="9"/>
      <c r="N3430" s="9"/>
      <c r="O3430" s="9"/>
      <c r="P3430" s="9"/>
      <c r="Q3430" s="9"/>
      <c r="R3430" s="9"/>
      <c r="S3430" s="9"/>
      <c r="T3430" s="9"/>
      <c r="U3430" s="9"/>
      <c r="V3430" s="9"/>
      <c r="W3430" s="9"/>
      <c r="X3430" s="9"/>
      <c r="Y3430" s="9"/>
      <c r="Z3430" s="9"/>
      <c r="AA3430" s="9"/>
    </row>
    <row r="3431">
      <c r="A3431" s="9"/>
      <c r="B3431" s="9"/>
      <c r="C3431" s="9"/>
      <c r="D3431" s="9"/>
      <c r="E3431" s="9"/>
      <c r="F3431" s="9"/>
      <c r="G3431" s="10"/>
      <c r="H3431" s="9"/>
      <c r="I3431" s="15"/>
      <c r="J3431" s="9"/>
      <c r="K3431" s="9"/>
      <c r="L3431" s="9"/>
      <c r="M3431" s="9"/>
      <c r="N3431" s="9"/>
      <c r="O3431" s="9"/>
      <c r="P3431" s="9"/>
      <c r="Q3431" s="9"/>
      <c r="R3431" s="9"/>
      <c r="S3431" s="9"/>
      <c r="T3431" s="9"/>
      <c r="U3431" s="9"/>
      <c r="V3431" s="9"/>
      <c r="W3431" s="9"/>
      <c r="X3431" s="9"/>
      <c r="Y3431" s="9"/>
      <c r="Z3431" s="9"/>
      <c r="AA3431" s="9"/>
    </row>
    <row r="3432">
      <c r="A3432" s="9"/>
      <c r="B3432" s="9"/>
      <c r="C3432" s="9"/>
      <c r="D3432" s="9"/>
      <c r="E3432" s="9"/>
      <c r="F3432" s="9"/>
      <c r="G3432" s="10"/>
      <c r="H3432" s="9"/>
      <c r="I3432" s="15"/>
      <c r="J3432" s="9"/>
      <c r="K3432" s="9"/>
      <c r="L3432" s="9"/>
      <c r="M3432" s="9"/>
      <c r="N3432" s="9"/>
      <c r="O3432" s="9"/>
      <c r="P3432" s="9"/>
      <c r="Q3432" s="9"/>
      <c r="R3432" s="9"/>
      <c r="S3432" s="9"/>
      <c r="T3432" s="9"/>
      <c r="U3432" s="9"/>
      <c r="V3432" s="9"/>
      <c r="W3432" s="9"/>
      <c r="X3432" s="9"/>
      <c r="Y3432" s="9"/>
      <c r="Z3432" s="9"/>
      <c r="AA3432" s="9"/>
    </row>
    <row r="3433">
      <c r="A3433" s="9"/>
      <c r="B3433" s="9"/>
      <c r="C3433" s="9"/>
      <c r="D3433" s="9"/>
      <c r="E3433" s="9"/>
      <c r="F3433" s="9"/>
      <c r="G3433" s="10"/>
      <c r="H3433" s="9"/>
      <c r="I3433" s="15"/>
      <c r="J3433" s="9"/>
      <c r="K3433" s="9"/>
      <c r="L3433" s="9"/>
      <c r="M3433" s="9"/>
      <c r="N3433" s="9"/>
      <c r="O3433" s="9"/>
      <c r="P3433" s="9"/>
      <c r="Q3433" s="9"/>
      <c r="R3433" s="9"/>
      <c r="S3433" s="9"/>
      <c r="T3433" s="9"/>
      <c r="U3433" s="9"/>
      <c r="V3433" s="9"/>
      <c r="W3433" s="9"/>
      <c r="X3433" s="9"/>
      <c r="Y3433" s="9"/>
      <c r="Z3433" s="9"/>
      <c r="AA3433" s="9"/>
    </row>
    <row r="3434">
      <c r="A3434" s="9"/>
      <c r="B3434" s="9"/>
      <c r="C3434" s="9"/>
      <c r="D3434" s="9"/>
      <c r="E3434" s="9"/>
      <c r="F3434" s="9"/>
      <c r="G3434" s="10"/>
      <c r="H3434" s="9"/>
      <c r="I3434" s="15"/>
      <c r="J3434" s="9"/>
      <c r="K3434" s="9"/>
      <c r="L3434" s="9"/>
      <c r="M3434" s="9"/>
      <c r="N3434" s="9"/>
      <c r="O3434" s="9"/>
      <c r="P3434" s="9"/>
      <c r="Q3434" s="9"/>
      <c r="R3434" s="9"/>
      <c r="S3434" s="9"/>
      <c r="T3434" s="9"/>
      <c r="U3434" s="9"/>
      <c r="V3434" s="9"/>
      <c r="W3434" s="9"/>
      <c r="X3434" s="9"/>
      <c r="Y3434" s="9"/>
      <c r="Z3434" s="9"/>
      <c r="AA3434" s="9"/>
    </row>
    <row r="3435">
      <c r="A3435" s="9"/>
      <c r="B3435" s="9"/>
      <c r="C3435" s="9"/>
      <c r="D3435" s="9"/>
      <c r="E3435" s="9"/>
      <c r="F3435" s="9"/>
      <c r="G3435" s="10"/>
      <c r="H3435" s="9"/>
      <c r="I3435" s="15"/>
      <c r="J3435" s="9"/>
      <c r="K3435" s="9"/>
      <c r="L3435" s="9"/>
      <c r="M3435" s="9"/>
      <c r="N3435" s="9"/>
      <c r="O3435" s="9"/>
      <c r="P3435" s="9"/>
      <c r="Q3435" s="9"/>
      <c r="R3435" s="9"/>
      <c r="S3435" s="9"/>
      <c r="T3435" s="9"/>
      <c r="U3435" s="9"/>
      <c r="V3435" s="9"/>
      <c r="W3435" s="9"/>
      <c r="X3435" s="9"/>
      <c r="Y3435" s="9"/>
      <c r="Z3435" s="9"/>
      <c r="AA3435" s="9"/>
    </row>
    <row r="3436">
      <c r="A3436" s="9"/>
      <c r="B3436" s="9"/>
      <c r="C3436" s="9"/>
      <c r="D3436" s="9"/>
      <c r="E3436" s="9"/>
      <c r="F3436" s="9"/>
      <c r="G3436" s="10"/>
      <c r="H3436" s="9"/>
      <c r="I3436" s="15"/>
      <c r="J3436" s="9"/>
      <c r="K3436" s="9"/>
      <c r="L3436" s="9"/>
      <c r="M3436" s="9"/>
      <c r="N3436" s="9"/>
      <c r="O3436" s="9"/>
      <c r="P3436" s="9"/>
      <c r="Q3436" s="9"/>
      <c r="R3436" s="9"/>
      <c r="S3436" s="9"/>
      <c r="T3436" s="9"/>
      <c r="U3436" s="9"/>
      <c r="V3436" s="9"/>
      <c r="W3436" s="9"/>
      <c r="X3436" s="9"/>
      <c r="Y3436" s="9"/>
      <c r="Z3436" s="9"/>
      <c r="AA3436" s="9"/>
    </row>
    <row r="3437">
      <c r="A3437" s="9"/>
      <c r="B3437" s="9"/>
      <c r="C3437" s="9"/>
      <c r="D3437" s="9"/>
      <c r="E3437" s="9"/>
      <c r="F3437" s="9"/>
      <c r="G3437" s="10"/>
      <c r="H3437" s="9"/>
      <c r="I3437" s="15"/>
      <c r="J3437" s="9"/>
      <c r="K3437" s="9"/>
      <c r="L3437" s="9"/>
      <c r="M3437" s="9"/>
      <c r="N3437" s="9"/>
      <c r="O3437" s="9"/>
      <c r="P3437" s="9"/>
      <c r="Q3437" s="9"/>
      <c r="R3437" s="9"/>
      <c r="S3437" s="9"/>
      <c r="T3437" s="9"/>
      <c r="U3437" s="9"/>
      <c r="V3437" s="9"/>
      <c r="W3437" s="9"/>
      <c r="X3437" s="9"/>
      <c r="Y3437" s="9"/>
      <c r="Z3437" s="9"/>
      <c r="AA3437" s="9"/>
    </row>
    <row r="3438">
      <c r="A3438" s="9"/>
      <c r="B3438" s="9"/>
      <c r="C3438" s="9"/>
      <c r="D3438" s="9"/>
      <c r="E3438" s="9"/>
      <c r="F3438" s="9"/>
      <c r="G3438" s="10"/>
      <c r="H3438" s="9"/>
      <c r="I3438" s="15"/>
      <c r="J3438" s="9"/>
      <c r="K3438" s="9"/>
      <c r="L3438" s="9"/>
      <c r="M3438" s="9"/>
      <c r="N3438" s="9"/>
      <c r="O3438" s="9"/>
      <c r="P3438" s="9"/>
      <c r="Q3438" s="9"/>
      <c r="R3438" s="9"/>
      <c r="S3438" s="9"/>
      <c r="T3438" s="9"/>
      <c r="U3438" s="9"/>
      <c r="V3438" s="9"/>
      <c r="W3438" s="9"/>
      <c r="X3438" s="9"/>
      <c r="Y3438" s="9"/>
      <c r="Z3438" s="9"/>
      <c r="AA3438" s="9"/>
    </row>
    <row r="3439">
      <c r="A3439" s="9"/>
      <c r="B3439" s="9"/>
      <c r="C3439" s="9"/>
      <c r="D3439" s="9"/>
      <c r="E3439" s="9"/>
      <c r="F3439" s="9"/>
      <c r="G3439" s="10"/>
      <c r="H3439" s="9"/>
      <c r="I3439" s="15"/>
      <c r="J3439" s="9"/>
      <c r="K3439" s="9"/>
      <c r="L3439" s="9"/>
      <c r="M3439" s="9"/>
      <c r="N3439" s="9"/>
      <c r="O3439" s="9"/>
      <c r="P3439" s="9"/>
      <c r="Q3439" s="9"/>
      <c r="R3439" s="9"/>
      <c r="S3439" s="9"/>
      <c r="T3439" s="9"/>
      <c r="U3439" s="9"/>
      <c r="V3439" s="9"/>
      <c r="W3439" s="9"/>
      <c r="X3439" s="9"/>
      <c r="Y3439" s="9"/>
      <c r="Z3439" s="9"/>
      <c r="AA3439" s="9"/>
    </row>
    <row r="3440">
      <c r="A3440" s="9"/>
      <c r="B3440" s="9"/>
      <c r="C3440" s="9"/>
      <c r="D3440" s="9"/>
      <c r="E3440" s="9"/>
      <c r="F3440" s="9"/>
      <c r="G3440" s="10"/>
      <c r="H3440" s="9"/>
      <c r="I3440" s="15"/>
      <c r="J3440" s="9"/>
      <c r="K3440" s="9"/>
      <c r="L3440" s="9"/>
      <c r="M3440" s="9"/>
      <c r="N3440" s="9"/>
      <c r="O3440" s="9"/>
      <c r="P3440" s="9"/>
      <c r="Q3440" s="9"/>
      <c r="R3440" s="9"/>
      <c r="S3440" s="9"/>
      <c r="T3440" s="9"/>
      <c r="U3440" s="9"/>
      <c r="V3440" s="9"/>
      <c r="W3440" s="9"/>
      <c r="X3440" s="9"/>
      <c r="Y3440" s="9"/>
      <c r="Z3440" s="9"/>
      <c r="AA3440" s="9"/>
    </row>
    <row r="3441">
      <c r="A3441" s="9"/>
      <c r="B3441" s="9"/>
      <c r="C3441" s="9"/>
      <c r="D3441" s="9"/>
      <c r="E3441" s="9"/>
      <c r="F3441" s="9"/>
      <c r="G3441" s="10"/>
      <c r="H3441" s="9"/>
      <c r="I3441" s="15"/>
      <c r="J3441" s="9"/>
      <c r="K3441" s="9"/>
      <c r="L3441" s="9"/>
      <c r="M3441" s="9"/>
      <c r="N3441" s="9"/>
      <c r="O3441" s="9"/>
      <c r="P3441" s="9"/>
      <c r="Q3441" s="9"/>
      <c r="R3441" s="9"/>
      <c r="S3441" s="9"/>
      <c r="T3441" s="9"/>
      <c r="U3441" s="9"/>
      <c r="V3441" s="9"/>
      <c r="W3441" s="9"/>
      <c r="X3441" s="9"/>
      <c r="Y3441" s="9"/>
      <c r="Z3441" s="9"/>
      <c r="AA3441" s="9"/>
    </row>
    <row r="3442">
      <c r="A3442" s="9"/>
      <c r="B3442" s="9"/>
      <c r="C3442" s="9"/>
      <c r="D3442" s="9"/>
      <c r="E3442" s="9"/>
      <c r="F3442" s="9"/>
      <c r="G3442" s="10"/>
      <c r="H3442" s="9"/>
      <c r="I3442" s="15"/>
      <c r="J3442" s="9"/>
      <c r="K3442" s="9"/>
      <c r="L3442" s="9"/>
      <c r="M3442" s="9"/>
      <c r="N3442" s="9"/>
      <c r="O3442" s="9"/>
      <c r="P3442" s="9"/>
      <c r="Q3442" s="9"/>
      <c r="R3442" s="9"/>
      <c r="S3442" s="9"/>
      <c r="T3442" s="9"/>
      <c r="U3442" s="9"/>
      <c r="V3442" s="9"/>
      <c r="W3442" s="9"/>
      <c r="X3442" s="9"/>
      <c r="Y3442" s="9"/>
      <c r="Z3442" s="9"/>
      <c r="AA3442" s="9"/>
    </row>
    <row r="3443">
      <c r="A3443" s="9"/>
      <c r="B3443" s="9"/>
      <c r="C3443" s="9"/>
      <c r="D3443" s="9"/>
      <c r="E3443" s="9"/>
      <c r="F3443" s="9"/>
      <c r="G3443" s="10"/>
      <c r="H3443" s="9"/>
      <c r="I3443" s="15"/>
      <c r="J3443" s="9"/>
      <c r="K3443" s="9"/>
      <c r="L3443" s="9"/>
      <c r="M3443" s="9"/>
      <c r="N3443" s="9"/>
      <c r="O3443" s="9"/>
      <c r="P3443" s="9"/>
      <c r="Q3443" s="9"/>
      <c r="R3443" s="9"/>
      <c r="S3443" s="9"/>
      <c r="T3443" s="9"/>
      <c r="U3443" s="9"/>
      <c r="V3443" s="9"/>
      <c r="W3443" s="9"/>
      <c r="X3443" s="9"/>
      <c r="Y3443" s="9"/>
      <c r="Z3443" s="9"/>
      <c r="AA3443" s="9"/>
    </row>
    <row r="3444">
      <c r="A3444" s="9"/>
      <c r="B3444" s="9"/>
      <c r="C3444" s="9"/>
      <c r="D3444" s="9"/>
      <c r="E3444" s="9"/>
      <c r="F3444" s="9"/>
      <c r="G3444" s="10"/>
      <c r="H3444" s="9"/>
      <c r="I3444" s="15"/>
      <c r="J3444" s="9"/>
      <c r="K3444" s="9"/>
      <c r="L3444" s="9"/>
      <c r="M3444" s="9"/>
      <c r="N3444" s="9"/>
      <c r="O3444" s="9"/>
      <c r="P3444" s="9"/>
      <c r="Q3444" s="9"/>
      <c r="R3444" s="9"/>
      <c r="S3444" s="9"/>
      <c r="T3444" s="9"/>
      <c r="U3444" s="9"/>
      <c r="V3444" s="9"/>
      <c r="W3444" s="9"/>
      <c r="X3444" s="9"/>
      <c r="Y3444" s="9"/>
      <c r="Z3444" s="9"/>
      <c r="AA3444" s="9"/>
    </row>
    <row r="3445">
      <c r="A3445" s="9"/>
      <c r="B3445" s="9"/>
      <c r="C3445" s="9"/>
      <c r="D3445" s="9"/>
      <c r="E3445" s="9"/>
      <c r="F3445" s="9"/>
      <c r="G3445" s="10"/>
      <c r="H3445" s="9"/>
      <c r="I3445" s="15"/>
      <c r="J3445" s="9"/>
      <c r="K3445" s="9"/>
      <c r="L3445" s="9"/>
      <c r="M3445" s="9"/>
      <c r="N3445" s="9"/>
      <c r="O3445" s="9"/>
      <c r="P3445" s="9"/>
      <c r="Q3445" s="9"/>
      <c r="R3445" s="9"/>
      <c r="S3445" s="9"/>
      <c r="T3445" s="9"/>
      <c r="U3445" s="9"/>
      <c r="V3445" s="9"/>
      <c r="W3445" s="9"/>
      <c r="X3445" s="9"/>
      <c r="Y3445" s="9"/>
      <c r="Z3445" s="9"/>
      <c r="AA3445" s="9"/>
    </row>
    <row r="3446">
      <c r="A3446" s="9"/>
      <c r="B3446" s="9"/>
      <c r="C3446" s="9"/>
      <c r="D3446" s="9"/>
      <c r="E3446" s="9"/>
      <c r="F3446" s="9"/>
      <c r="G3446" s="10"/>
      <c r="H3446" s="9"/>
      <c r="I3446" s="15"/>
      <c r="J3446" s="9"/>
      <c r="K3446" s="9"/>
      <c r="L3446" s="9"/>
      <c r="M3446" s="9"/>
      <c r="N3446" s="9"/>
      <c r="O3446" s="9"/>
      <c r="P3446" s="9"/>
      <c r="Q3446" s="9"/>
      <c r="R3446" s="9"/>
      <c r="S3446" s="9"/>
      <c r="T3446" s="9"/>
      <c r="U3446" s="9"/>
      <c r="V3446" s="9"/>
      <c r="W3446" s="9"/>
      <c r="X3446" s="9"/>
      <c r="Y3446" s="9"/>
      <c r="Z3446" s="9"/>
      <c r="AA3446" s="9"/>
    </row>
    <row r="3447">
      <c r="A3447" s="9"/>
      <c r="B3447" s="9"/>
      <c r="C3447" s="9"/>
      <c r="D3447" s="9"/>
      <c r="E3447" s="9"/>
      <c r="F3447" s="9"/>
      <c r="G3447" s="10"/>
      <c r="H3447" s="9"/>
      <c r="I3447" s="15"/>
      <c r="J3447" s="9"/>
      <c r="K3447" s="9"/>
      <c r="L3447" s="9"/>
      <c r="M3447" s="9"/>
      <c r="N3447" s="9"/>
      <c r="O3447" s="9"/>
      <c r="P3447" s="9"/>
      <c r="Q3447" s="9"/>
      <c r="R3447" s="9"/>
      <c r="S3447" s="9"/>
      <c r="T3447" s="9"/>
      <c r="U3447" s="9"/>
      <c r="V3447" s="9"/>
      <c r="W3447" s="9"/>
      <c r="X3447" s="9"/>
      <c r="Y3447" s="9"/>
      <c r="Z3447" s="9"/>
      <c r="AA3447" s="9"/>
    </row>
    <row r="3448">
      <c r="A3448" s="9"/>
      <c r="B3448" s="9"/>
      <c r="C3448" s="9"/>
      <c r="D3448" s="9"/>
      <c r="E3448" s="9"/>
      <c r="F3448" s="9"/>
      <c r="G3448" s="10"/>
      <c r="H3448" s="9"/>
      <c r="I3448" s="15"/>
      <c r="J3448" s="9"/>
      <c r="K3448" s="9"/>
      <c r="L3448" s="9"/>
      <c r="M3448" s="9"/>
      <c r="N3448" s="9"/>
      <c r="O3448" s="9"/>
      <c r="P3448" s="9"/>
      <c r="Q3448" s="9"/>
      <c r="R3448" s="9"/>
      <c r="S3448" s="9"/>
      <c r="T3448" s="9"/>
      <c r="U3448" s="9"/>
      <c r="V3448" s="9"/>
      <c r="W3448" s="9"/>
      <c r="X3448" s="9"/>
      <c r="Y3448" s="9"/>
      <c r="Z3448" s="9"/>
      <c r="AA3448" s="9"/>
    </row>
    <row r="3449">
      <c r="A3449" s="9"/>
      <c r="B3449" s="9"/>
      <c r="C3449" s="9"/>
      <c r="D3449" s="9"/>
      <c r="E3449" s="9"/>
      <c r="F3449" s="9"/>
      <c r="G3449" s="10"/>
      <c r="H3449" s="9"/>
      <c r="I3449" s="15"/>
      <c r="J3449" s="9"/>
      <c r="K3449" s="9"/>
      <c r="L3449" s="9"/>
      <c r="M3449" s="9"/>
      <c r="N3449" s="9"/>
      <c r="O3449" s="9"/>
      <c r="P3449" s="9"/>
      <c r="Q3449" s="9"/>
      <c r="R3449" s="9"/>
      <c r="S3449" s="9"/>
      <c r="T3449" s="9"/>
      <c r="U3449" s="9"/>
      <c r="V3449" s="9"/>
      <c r="W3449" s="9"/>
      <c r="X3449" s="9"/>
      <c r="Y3449" s="9"/>
      <c r="Z3449" s="9"/>
      <c r="AA3449" s="9"/>
    </row>
    <row r="3450">
      <c r="A3450" s="9"/>
      <c r="B3450" s="9"/>
      <c r="C3450" s="9"/>
      <c r="D3450" s="9"/>
      <c r="E3450" s="9"/>
      <c r="F3450" s="9"/>
      <c r="G3450" s="10"/>
      <c r="H3450" s="9"/>
      <c r="I3450" s="15"/>
      <c r="J3450" s="9"/>
      <c r="K3450" s="9"/>
      <c r="L3450" s="9"/>
      <c r="M3450" s="9"/>
      <c r="N3450" s="9"/>
      <c r="O3450" s="9"/>
      <c r="P3450" s="9"/>
      <c r="Q3450" s="9"/>
      <c r="R3450" s="9"/>
      <c r="S3450" s="9"/>
      <c r="T3450" s="9"/>
      <c r="U3450" s="9"/>
      <c r="V3450" s="9"/>
      <c r="W3450" s="9"/>
      <c r="X3450" s="9"/>
      <c r="Y3450" s="9"/>
      <c r="Z3450" s="9"/>
      <c r="AA3450" s="9"/>
    </row>
    <row r="3451">
      <c r="A3451" s="9"/>
      <c r="B3451" s="9"/>
      <c r="C3451" s="9"/>
      <c r="D3451" s="9"/>
      <c r="E3451" s="9"/>
      <c r="F3451" s="9"/>
      <c r="G3451" s="10"/>
      <c r="H3451" s="9"/>
      <c r="I3451" s="15"/>
      <c r="J3451" s="9"/>
      <c r="K3451" s="9"/>
      <c r="L3451" s="9"/>
      <c r="M3451" s="9"/>
      <c r="N3451" s="9"/>
      <c r="O3451" s="9"/>
      <c r="P3451" s="9"/>
      <c r="Q3451" s="9"/>
      <c r="R3451" s="9"/>
      <c r="S3451" s="9"/>
      <c r="T3451" s="9"/>
      <c r="U3451" s="9"/>
      <c r="V3451" s="9"/>
      <c r="W3451" s="9"/>
      <c r="X3451" s="9"/>
      <c r="Y3451" s="9"/>
      <c r="Z3451" s="9"/>
      <c r="AA3451" s="9"/>
    </row>
    <row r="3452">
      <c r="A3452" s="9"/>
      <c r="B3452" s="9"/>
      <c r="C3452" s="9"/>
      <c r="D3452" s="9"/>
      <c r="E3452" s="9"/>
      <c r="F3452" s="9"/>
      <c r="G3452" s="10"/>
      <c r="H3452" s="9"/>
      <c r="I3452" s="15"/>
      <c r="J3452" s="9"/>
      <c r="K3452" s="9"/>
      <c r="L3452" s="9"/>
      <c r="M3452" s="9"/>
      <c r="N3452" s="9"/>
      <c r="O3452" s="9"/>
      <c r="P3452" s="9"/>
      <c r="Q3452" s="9"/>
      <c r="R3452" s="9"/>
      <c r="S3452" s="9"/>
      <c r="T3452" s="9"/>
      <c r="U3452" s="9"/>
      <c r="V3452" s="9"/>
      <c r="W3452" s="9"/>
      <c r="X3452" s="9"/>
      <c r="Y3452" s="9"/>
      <c r="Z3452" s="9"/>
      <c r="AA3452" s="9"/>
    </row>
    <row r="3453">
      <c r="A3453" s="9"/>
      <c r="B3453" s="9"/>
      <c r="C3453" s="9"/>
      <c r="D3453" s="9"/>
      <c r="E3453" s="9"/>
      <c r="F3453" s="9"/>
      <c r="G3453" s="10"/>
      <c r="H3453" s="9"/>
      <c r="I3453" s="15"/>
      <c r="J3453" s="9"/>
      <c r="K3453" s="9"/>
      <c r="L3453" s="9"/>
      <c r="M3453" s="9"/>
      <c r="N3453" s="9"/>
      <c r="O3453" s="9"/>
      <c r="P3453" s="9"/>
      <c r="Q3453" s="9"/>
      <c r="R3453" s="9"/>
      <c r="S3453" s="9"/>
      <c r="T3453" s="9"/>
      <c r="U3453" s="9"/>
      <c r="V3453" s="9"/>
      <c r="W3453" s="9"/>
      <c r="X3453" s="9"/>
      <c r="Y3453" s="9"/>
      <c r="Z3453" s="9"/>
      <c r="AA3453" s="9"/>
    </row>
    <row r="3454">
      <c r="A3454" s="9"/>
      <c r="B3454" s="9"/>
      <c r="C3454" s="9"/>
      <c r="D3454" s="9"/>
      <c r="E3454" s="9"/>
      <c r="F3454" s="9"/>
      <c r="G3454" s="10"/>
      <c r="H3454" s="9"/>
      <c r="I3454" s="15"/>
      <c r="J3454" s="9"/>
      <c r="K3454" s="9"/>
      <c r="L3454" s="9"/>
      <c r="M3454" s="9"/>
      <c r="N3454" s="9"/>
      <c r="O3454" s="9"/>
      <c r="P3454" s="9"/>
      <c r="Q3454" s="9"/>
      <c r="R3454" s="9"/>
      <c r="S3454" s="9"/>
      <c r="T3454" s="9"/>
      <c r="U3454" s="9"/>
      <c r="V3454" s="9"/>
      <c r="W3454" s="9"/>
      <c r="X3454" s="9"/>
      <c r="Y3454" s="9"/>
      <c r="Z3454" s="9"/>
      <c r="AA3454" s="9"/>
    </row>
    <row r="3455">
      <c r="A3455" s="9"/>
      <c r="B3455" s="9"/>
      <c r="C3455" s="9"/>
      <c r="D3455" s="9"/>
      <c r="E3455" s="9"/>
      <c r="F3455" s="9"/>
      <c r="G3455" s="10"/>
      <c r="H3455" s="9"/>
      <c r="I3455" s="15"/>
      <c r="J3455" s="9"/>
      <c r="K3455" s="9"/>
      <c r="L3455" s="9"/>
      <c r="M3455" s="9"/>
      <c r="N3455" s="9"/>
      <c r="O3455" s="9"/>
      <c r="P3455" s="9"/>
      <c r="Q3455" s="9"/>
      <c r="R3455" s="9"/>
      <c r="S3455" s="9"/>
      <c r="T3455" s="9"/>
      <c r="U3455" s="9"/>
      <c r="V3455" s="9"/>
      <c r="W3455" s="9"/>
      <c r="X3455" s="9"/>
      <c r="Y3455" s="9"/>
      <c r="Z3455" s="9"/>
      <c r="AA3455" s="9"/>
    </row>
    <row r="3456">
      <c r="A3456" s="9"/>
      <c r="B3456" s="9"/>
      <c r="C3456" s="9"/>
      <c r="D3456" s="9"/>
      <c r="E3456" s="9"/>
      <c r="F3456" s="9"/>
      <c r="G3456" s="10"/>
      <c r="H3456" s="9"/>
      <c r="I3456" s="15"/>
      <c r="J3456" s="9"/>
      <c r="K3456" s="9"/>
      <c r="L3456" s="9"/>
      <c r="M3456" s="9"/>
      <c r="N3456" s="9"/>
      <c r="O3456" s="9"/>
      <c r="P3456" s="9"/>
      <c r="Q3456" s="9"/>
      <c r="R3456" s="9"/>
      <c r="S3456" s="9"/>
      <c r="T3456" s="9"/>
      <c r="U3456" s="9"/>
      <c r="V3456" s="9"/>
      <c r="W3456" s="9"/>
      <c r="X3456" s="9"/>
      <c r="Y3456" s="9"/>
      <c r="Z3456" s="9"/>
      <c r="AA3456" s="9"/>
    </row>
    <row r="3457">
      <c r="A3457" s="9"/>
      <c r="B3457" s="9"/>
      <c r="C3457" s="9"/>
      <c r="D3457" s="9"/>
      <c r="E3457" s="9"/>
      <c r="F3457" s="9"/>
      <c r="G3457" s="10"/>
      <c r="H3457" s="9"/>
      <c r="I3457" s="15"/>
      <c r="J3457" s="9"/>
      <c r="K3457" s="9"/>
      <c r="L3457" s="9"/>
      <c r="M3457" s="9"/>
      <c r="N3457" s="9"/>
      <c r="O3457" s="9"/>
      <c r="P3457" s="9"/>
      <c r="Q3457" s="9"/>
      <c r="R3457" s="9"/>
      <c r="S3457" s="9"/>
      <c r="T3457" s="9"/>
      <c r="U3457" s="9"/>
      <c r="V3457" s="9"/>
      <c r="W3457" s="9"/>
      <c r="X3457" s="9"/>
      <c r="Y3457" s="9"/>
      <c r="Z3457" s="9"/>
      <c r="AA3457" s="9"/>
    </row>
    <row r="3458">
      <c r="A3458" s="9"/>
      <c r="B3458" s="9"/>
      <c r="C3458" s="9"/>
      <c r="D3458" s="9"/>
      <c r="E3458" s="9"/>
      <c r="F3458" s="9"/>
      <c r="G3458" s="10"/>
      <c r="H3458" s="9"/>
      <c r="I3458" s="15"/>
      <c r="J3458" s="9"/>
      <c r="K3458" s="9"/>
      <c r="L3458" s="9"/>
      <c r="M3458" s="9"/>
      <c r="N3458" s="9"/>
      <c r="O3458" s="9"/>
      <c r="P3458" s="9"/>
      <c r="Q3458" s="9"/>
      <c r="R3458" s="9"/>
      <c r="S3458" s="9"/>
      <c r="T3458" s="9"/>
      <c r="U3458" s="9"/>
      <c r="V3458" s="9"/>
      <c r="W3458" s="9"/>
      <c r="X3458" s="9"/>
      <c r="Y3458" s="9"/>
      <c r="Z3458" s="9"/>
      <c r="AA3458" s="9"/>
    </row>
    <row r="3459">
      <c r="A3459" s="9"/>
      <c r="B3459" s="9"/>
      <c r="C3459" s="9"/>
      <c r="D3459" s="9"/>
      <c r="E3459" s="9"/>
      <c r="F3459" s="9"/>
      <c r="G3459" s="10"/>
      <c r="H3459" s="9"/>
      <c r="I3459" s="15"/>
      <c r="J3459" s="9"/>
      <c r="K3459" s="9"/>
      <c r="L3459" s="9"/>
      <c r="M3459" s="9"/>
      <c r="N3459" s="9"/>
      <c r="O3459" s="9"/>
      <c r="P3459" s="9"/>
      <c r="Q3459" s="9"/>
      <c r="R3459" s="9"/>
      <c r="S3459" s="9"/>
      <c r="T3459" s="9"/>
      <c r="U3459" s="9"/>
      <c r="V3459" s="9"/>
      <c r="W3459" s="9"/>
      <c r="X3459" s="9"/>
      <c r="Y3459" s="9"/>
      <c r="Z3459" s="9"/>
      <c r="AA3459" s="9"/>
    </row>
    <row r="3460">
      <c r="A3460" s="9"/>
      <c r="B3460" s="9"/>
      <c r="C3460" s="9"/>
      <c r="D3460" s="9"/>
      <c r="E3460" s="9"/>
      <c r="F3460" s="9"/>
      <c r="G3460" s="10"/>
      <c r="H3460" s="9"/>
      <c r="I3460" s="15"/>
      <c r="J3460" s="9"/>
      <c r="K3460" s="9"/>
      <c r="L3460" s="9"/>
      <c r="M3460" s="9"/>
      <c r="N3460" s="9"/>
      <c r="O3460" s="9"/>
      <c r="P3460" s="9"/>
      <c r="Q3460" s="9"/>
      <c r="R3460" s="9"/>
      <c r="S3460" s="9"/>
      <c r="T3460" s="9"/>
      <c r="U3460" s="9"/>
      <c r="V3460" s="9"/>
      <c r="W3460" s="9"/>
      <c r="X3460" s="9"/>
      <c r="Y3460" s="9"/>
      <c r="Z3460" s="9"/>
      <c r="AA3460" s="9"/>
    </row>
    <row r="3461">
      <c r="A3461" s="9"/>
      <c r="B3461" s="9"/>
      <c r="C3461" s="9"/>
      <c r="D3461" s="9"/>
      <c r="E3461" s="9"/>
      <c r="F3461" s="9"/>
      <c r="G3461" s="10"/>
      <c r="H3461" s="9"/>
      <c r="I3461" s="15"/>
      <c r="J3461" s="9"/>
      <c r="K3461" s="9"/>
      <c r="L3461" s="9"/>
      <c r="M3461" s="9"/>
      <c r="N3461" s="9"/>
      <c r="O3461" s="9"/>
      <c r="P3461" s="9"/>
      <c r="Q3461" s="9"/>
      <c r="R3461" s="9"/>
      <c r="S3461" s="9"/>
      <c r="T3461" s="9"/>
      <c r="U3461" s="9"/>
      <c r="V3461" s="9"/>
      <c r="W3461" s="9"/>
      <c r="X3461" s="9"/>
      <c r="Y3461" s="9"/>
      <c r="Z3461" s="9"/>
      <c r="AA3461" s="9"/>
    </row>
    <row r="3462">
      <c r="A3462" s="9"/>
      <c r="B3462" s="9"/>
      <c r="C3462" s="9"/>
      <c r="D3462" s="9"/>
      <c r="E3462" s="9"/>
      <c r="F3462" s="9"/>
      <c r="G3462" s="10"/>
      <c r="H3462" s="9"/>
      <c r="I3462" s="15"/>
      <c r="J3462" s="9"/>
      <c r="K3462" s="9"/>
      <c r="L3462" s="9"/>
      <c r="M3462" s="9"/>
      <c r="N3462" s="9"/>
      <c r="O3462" s="9"/>
      <c r="P3462" s="9"/>
      <c r="Q3462" s="9"/>
      <c r="R3462" s="9"/>
      <c r="S3462" s="9"/>
      <c r="T3462" s="9"/>
      <c r="U3462" s="9"/>
      <c r="V3462" s="9"/>
      <c r="W3462" s="9"/>
      <c r="X3462" s="9"/>
      <c r="Y3462" s="9"/>
      <c r="Z3462" s="9"/>
      <c r="AA3462" s="9"/>
    </row>
    <row r="3463">
      <c r="A3463" s="9"/>
      <c r="B3463" s="9"/>
      <c r="C3463" s="9"/>
      <c r="D3463" s="9"/>
      <c r="E3463" s="9"/>
      <c r="F3463" s="9"/>
      <c r="G3463" s="10"/>
      <c r="H3463" s="9"/>
      <c r="I3463" s="15"/>
      <c r="J3463" s="9"/>
      <c r="K3463" s="9"/>
      <c r="L3463" s="9"/>
      <c r="M3463" s="9"/>
      <c r="N3463" s="9"/>
      <c r="O3463" s="9"/>
      <c r="P3463" s="9"/>
      <c r="Q3463" s="9"/>
      <c r="R3463" s="9"/>
      <c r="S3463" s="9"/>
      <c r="T3463" s="9"/>
      <c r="U3463" s="9"/>
      <c r="V3463" s="9"/>
      <c r="W3463" s="9"/>
      <c r="X3463" s="9"/>
      <c r="Y3463" s="9"/>
      <c r="Z3463" s="9"/>
      <c r="AA3463" s="9"/>
    </row>
    <row r="3464">
      <c r="A3464" s="9"/>
      <c r="B3464" s="9"/>
      <c r="C3464" s="9"/>
      <c r="D3464" s="9"/>
      <c r="E3464" s="9"/>
      <c r="F3464" s="9"/>
      <c r="G3464" s="10"/>
      <c r="H3464" s="9"/>
      <c r="I3464" s="15"/>
      <c r="J3464" s="9"/>
      <c r="K3464" s="9"/>
      <c r="L3464" s="9"/>
      <c r="M3464" s="9"/>
      <c r="N3464" s="9"/>
      <c r="O3464" s="9"/>
      <c r="P3464" s="9"/>
      <c r="Q3464" s="9"/>
      <c r="R3464" s="9"/>
      <c r="S3464" s="9"/>
      <c r="T3464" s="9"/>
      <c r="U3464" s="9"/>
      <c r="V3464" s="9"/>
      <c r="W3464" s="9"/>
      <c r="X3464" s="9"/>
      <c r="Y3464" s="9"/>
      <c r="Z3464" s="9"/>
      <c r="AA3464" s="9"/>
    </row>
    <row r="3465">
      <c r="A3465" s="9"/>
      <c r="B3465" s="9"/>
      <c r="C3465" s="9"/>
      <c r="D3465" s="9"/>
      <c r="E3465" s="9"/>
      <c r="F3465" s="9"/>
      <c r="G3465" s="10"/>
      <c r="H3465" s="9"/>
      <c r="I3465" s="15"/>
      <c r="J3465" s="9"/>
      <c r="K3465" s="9"/>
      <c r="L3465" s="9"/>
      <c r="M3465" s="9"/>
      <c r="N3465" s="9"/>
      <c r="O3465" s="9"/>
      <c r="P3465" s="9"/>
      <c r="Q3465" s="9"/>
      <c r="R3465" s="9"/>
      <c r="S3465" s="9"/>
      <c r="T3465" s="9"/>
      <c r="U3465" s="9"/>
      <c r="V3465" s="9"/>
      <c r="W3465" s="9"/>
      <c r="X3465" s="9"/>
      <c r="Y3465" s="9"/>
      <c r="Z3465" s="9"/>
      <c r="AA3465" s="9"/>
    </row>
    <row r="3466">
      <c r="A3466" s="9"/>
      <c r="B3466" s="9"/>
      <c r="C3466" s="9"/>
      <c r="D3466" s="9"/>
      <c r="E3466" s="9"/>
      <c r="F3466" s="9"/>
      <c r="G3466" s="10"/>
      <c r="H3466" s="9"/>
      <c r="I3466" s="15"/>
      <c r="J3466" s="9"/>
      <c r="K3466" s="9"/>
      <c r="L3466" s="9"/>
      <c r="M3466" s="9"/>
      <c r="N3466" s="9"/>
      <c r="O3466" s="9"/>
      <c r="P3466" s="9"/>
      <c r="Q3466" s="9"/>
      <c r="R3466" s="9"/>
      <c r="S3466" s="9"/>
      <c r="T3466" s="9"/>
      <c r="U3466" s="9"/>
      <c r="V3466" s="9"/>
      <c r="W3466" s="9"/>
      <c r="X3466" s="9"/>
      <c r="Y3466" s="9"/>
      <c r="Z3466" s="9"/>
      <c r="AA3466" s="9"/>
    </row>
    <row r="3467">
      <c r="A3467" s="9"/>
      <c r="B3467" s="9"/>
      <c r="C3467" s="9"/>
      <c r="D3467" s="9"/>
      <c r="E3467" s="9"/>
      <c r="F3467" s="9"/>
      <c r="G3467" s="10"/>
      <c r="H3467" s="9"/>
      <c r="I3467" s="15"/>
      <c r="J3467" s="9"/>
      <c r="K3467" s="9"/>
      <c r="L3467" s="9"/>
      <c r="M3467" s="9"/>
      <c r="N3467" s="9"/>
      <c r="O3467" s="9"/>
      <c r="P3467" s="9"/>
      <c r="Q3467" s="9"/>
      <c r="R3467" s="9"/>
      <c r="S3467" s="9"/>
      <c r="T3467" s="9"/>
      <c r="U3467" s="9"/>
      <c r="V3467" s="9"/>
      <c r="W3467" s="9"/>
      <c r="X3467" s="9"/>
      <c r="Y3467" s="9"/>
      <c r="Z3467" s="9"/>
      <c r="AA3467" s="9"/>
    </row>
    <row r="3468">
      <c r="A3468" s="9"/>
      <c r="B3468" s="9"/>
      <c r="C3468" s="9"/>
      <c r="D3468" s="9"/>
      <c r="E3468" s="9"/>
      <c r="F3468" s="9"/>
      <c r="G3468" s="10"/>
      <c r="H3468" s="9"/>
      <c r="I3468" s="15"/>
      <c r="J3468" s="9"/>
      <c r="K3468" s="9"/>
      <c r="L3468" s="9"/>
      <c r="M3468" s="9"/>
      <c r="N3468" s="9"/>
      <c r="O3468" s="9"/>
      <c r="P3468" s="9"/>
      <c r="Q3468" s="9"/>
      <c r="R3468" s="9"/>
      <c r="S3468" s="9"/>
      <c r="T3468" s="9"/>
      <c r="U3468" s="9"/>
      <c r="V3468" s="9"/>
      <c r="W3468" s="9"/>
      <c r="X3468" s="9"/>
      <c r="Y3468" s="9"/>
      <c r="Z3468" s="9"/>
      <c r="AA3468" s="9"/>
    </row>
    <row r="3469">
      <c r="A3469" s="9"/>
      <c r="B3469" s="9"/>
      <c r="C3469" s="9"/>
      <c r="D3469" s="9"/>
      <c r="E3469" s="9"/>
      <c r="F3469" s="9"/>
      <c r="G3469" s="10"/>
      <c r="H3469" s="9"/>
      <c r="I3469" s="15"/>
      <c r="J3469" s="9"/>
      <c r="K3469" s="9"/>
      <c r="L3469" s="9"/>
      <c r="M3469" s="9"/>
      <c r="N3469" s="9"/>
      <c r="O3469" s="9"/>
      <c r="P3469" s="9"/>
      <c r="Q3469" s="9"/>
      <c r="R3469" s="9"/>
      <c r="S3469" s="9"/>
      <c r="T3469" s="9"/>
      <c r="U3469" s="9"/>
      <c r="V3469" s="9"/>
      <c r="W3469" s="9"/>
      <c r="X3469" s="9"/>
      <c r="Y3469" s="9"/>
      <c r="Z3469" s="9"/>
      <c r="AA3469" s="9"/>
    </row>
    <row r="3470">
      <c r="A3470" s="9"/>
      <c r="B3470" s="9"/>
      <c r="C3470" s="9"/>
      <c r="D3470" s="9"/>
      <c r="E3470" s="9"/>
      <c r="F3470" s="9"/>
      <c r="G3470" s="10"/>
      <c r="H3470" s="9"/>
      <c r="I3470" s="15"/>
      <c r="J3470" s="9"/>
      <c r="K3470" s="9"/>
      <c r="L3470" s="9"/>
      <c r="M3470" s="9"/>
      <c r="N3470" s="9"/>
      <c r="O3470" s="9"/>
      <c r="P3470" s="9"/>
      <c r="Q3470" s="9"/>
      <c r="R3470" s="9"/>
      <c r="S3470" s="9"/>
      <c r="T3470" s="9"/>
      <c r="U3470" s="9"/>
      <c r="V3470" s="9"/>
      <c r="W3470" s="9"/>
      <c r="X3470" s="9"/>
      <c r="Y3470" s="9"/>
      <c r="Z3470" s="9"/>
      <c r="AA3470" s="9"/>
    </row>
    <row r="3471">
      <c r="A3471" s="9"/>
      <c r="B3471" s="9"/>
      <c r="C3471" s="9"/>
      <c r="D3471" s="9"/>
      <c r="E3471" s="9"/>
      <c r="F3471" s="9"/>
      <c r="G3471" s="10"/>
      <c r="H3471" s="9"/>
      <c r="I3471" s="15"/>
      <c r="J3471" s="9"/>
      <c r="K3471" s="9"/>
      <c r="L3471" s="9"/>
      <c r="M3471" s="9"/>
      <c r="N3471" s="9"/>
      <c r="O3471" s="9"/>
      <c r="P3471" s="9"/>
      <c r="Q3471" s="9"/>
      <c r="R3471" s="9"/>
      <c r="S3471" s="9"/>
      <c r="T3471" s="9"/>
      <c r="U3471" s="9"/>
      <c r="V3471" s="9"/>
      <c r="W3471" s="9"/>
      <c r="X3471" s="9"/>
      <c r="Y3471" s="9"/>
      <c r="Z3471" s="9"/>
      <c r="AA3471" s="9"/>
    </row>
    <row r="3472">
      <c r="A3472" s="9"/>
      <c r="B3472" s="9"/>
      <c r="C3472" s="9"/>
      <c r="D3472" s="9"/>
      <c r="E3472" s="9"/>
      <c r="F3472" s="9"/>
      <c r="G3472" s="10"/>
      <c r="H3472" s="9"/>
      <c r="I3472" s="15"/>
      <c r="J3472" s="9"/>
      <c r="K3472" s="9"/>
      <c r="L3472" s="9"/>
      <c r="M3472" s="9"/>
      <c r="N3472" s="9"/>
      <c r="O3472" s="9"/>
      <c r="P3472" s="9"/>
      <c r="Q3472" s="9"/>
      <c r="R3472" s="9"/>
      <c r="S3472" s="9"/>
      <c r="T3472" s="9"/>
      <c r="U3472" s="9"/>
      <c r="V3472" s="9"/>
      <c r="W3472" s="9"/>
      <c r="X3472" s="9"/>
      <c r="Y3472" s="9"/>
      <c r="Z3472" s="9"/>
      <c r="AA3472" s="9"/>
    </row>
    <row r="3473">
      <c r="A3473" s="9"/>
      <c r="B3473" s="9"/>
      <c r="C3473" s="9"/>
      <c r="D3473" s="9"/>
      <c r="E3473" s="9"/>
      <c r="F3473" s="9"/>
      <c r="G3473" s="10"/>
      <c r="H3473" s="9"/>
      <c r="I3473" s="15"/>
      <c r="J3473" s="9"/>
      <c r="K3473" s="9"/>
      <c r="L3473" s="9"/>
      <c r="M3473" s="9"/>
      <c r="N3473" s="9"/>
      <c r="O3473" s="9"/>
      <c r="P3473" s="9"/>
      <c r="Q3473" s="9"/>
      <c r="R3473" s="9"/>
      <c r="S3473" s="9"/>
      <c r="T3473" s="9"/>
      <c r="U3473" s="9"/>
      <c r="V3473" s="9"/>
      <c r="W3473" s="9"/>
      <c r="X3473" s="9"/>
      <c r="Y3473" s="9"/>
      <c r="Z3473" s="9"/>
      <c r="AA3473" s="9"/>
    </row>
    <row r="3474">
      <c r="A3474" s="9"/>
      <c r="B3474" s="9"/>
      <c r="C3474" s="9"/>
      <c r="D3474" s="9"/>
      <c r="E3474" s="9"/>
      <c r="F3474" s="9"/>
      <c r="G3474" s="10"/>
      <c r="H3474" s="9"/>
      <c r="I3474" s="15"/>
      <c r="J3474" s="9"/>
      <c r="K3474" s="9"/>
      <c r="L3474" s="9"/>
      <c r="M3474" s="9"/>
      <c r="N3474" s="9"/>
      <c r="O3474" s="9"/>
      <c r="P3474" s="9"/>
      <c r="Q3474" s="9"/>
      <c r="R3474" s="9"/>
      <c r="S3474" s="9"/>
      <c r="T3474" s="9"/>
      <c r="U3474" s="9"/>
      <c r="V3474" s="9"/>
      <c r="W3474" s="9"/>
      <c r="X3474" s="9"/>
      <c r="Y3474" s="9"/>
      <c r="Z3474" s="9"/>
      <c r="AA3474" s="9"/>
    </row>
    <row r="3475">
      <c r="A3475" s="9"/>
      <c r="B3475" s="9"/>
      <c r="C3475" s="9"/>
      <c r="D3475" s="9"/>
      <c r="E3475" s="9"/>
      <c r="F3475" s="9"/>
      <c r="G3475" s="10"/>
      <c r="H3475" s="9"/>
      <c r="I3475" s="15"/>
      <c r="J3475" s="9"/>
      <c r="K3475" s="9"/>
      <c r="L3475" s="9"/>
      <c r="M3475" s="9"/>
      <c r="N3475" s="9"/>
      <c r="O3475" s="9"/>
      <c r="P3475" s="9"/>
      <c r="Q3475" s="9"/>
      <c r="R3475" s="9"/>
      <c r="S3475" s="9"/>
      <c r="T3475" s="9"/>
      <c r="U3475" s="9"/>
      <c r="V3475" s="9"/>
      <c r="W3475" s="9"/>
      <c r="X3475" s="9"/>
      <c r="Y3475" s="9"/>
      <c r="Z3475" s="9"/>
      <c r="AA3475" s="9"/>
    </row>
    <row r="3476">
      <c r="A3476" s="9"/>
      <c r="B3476" s="9"/>
      <c r="C3476" s="9"/>
      <c r="D3476" s="9"/>
      <c r="E3476" s="9"/>
      <c r="F3476" s="9"/>
      <c r="G3476" s="10"/>
      <c r="H3476" s="9"/>
      <c r="I3476" s="15"/>
      <c r="J3476" s="9"/>
      <c r="K3476" s="9"/>
      <c r="L3476" s="9"/>
      <c r="M3476" s="9"/>
      <c r="N3476" s="9"/>
      <c r="O3476" s="9"/>
      <c r="P3476" s="9"/>
      <c r="Q3476" s="9"/>
      <c r="R3476" s="9"/>
      <c r="S3476" s="9"/>
      <c r="T3476" s="9"/>
      <c r="U3476" s="9"/>
      <c r="V3476" s="9"/>
      <c r="W3476" s="9"/>
      <c r="X3476" s="9"/>
      <c r="Y3476" s="9"/>
      <c r="Z3476" s="9"/>
      <c r="AA3476" s="9"/>
    </row>
    <row r="3477">
      <c r="A3477" s="9"/>
      <c r="B3477" s="9"/>
      <c r="C3477" s="9"/>
      <c r="D3477" s="9"/>
      <c r="E3477" s="9"/>
      <c r="F3477" s="9"/>
      <c r="G3477" s="10"/>
      <c r="H3477" s="9"/>
      <c r="I3477" s="15"/>
      <c r="J3477" s="9"/>
      <c r="K3477" s="9"/>
      <c r="L3477" s="9"/>
      <c r="M3477" s="9"/>
      <c r="N3477" s="9"/>
      <c r="O3477" s="9"/>
      <c r="P3477" s="9"/>
      <c r="Q3477" s="9"/>
      <c r="R3477" s="9"/>
      <c r="S3477" s="9"/>
      <c r="T3477" s="9"/>
      <c r="U3477" s="9"/>
      <c r="V3477" s="9"/>
      <c r="W3477" s="9"/>
      <c r="X3477" s="9"/>
      <c r="Y3477" s="9"/>
      <c r="Z3477" s="9"/>
      <c r="AA3477" s="9"/>
    </row>
    <row r="3478">
      <c r="A3478" s="9"/>
      <c r="B3478" s="9"/>
      <c r="C3478" s="9"/>
      <c r="D3478" s="9"/>
      <c r="E3478" s="9"/>
      <c r="F3478" s="9"/>
      <c r="G3478" s="10"/>
      <c r="H3478" s="9"/>
      <c r="I3478" s="15"/>
      <c r="J3478" s="9"/>
      <c r="K3478" s="9"/>
      <c r="L3478" s="9"/>
      <c r="M3478" s="9"/>
      <c r="N3478" s="9"/>
      <c r="O3478" s="9"/>
      <c r="P3478" s="9"/>
      <c r="Q3478" s="9"/>
      <c r="R3478" s="9"/>
      <c r="S3478" s="9"/>
      <c r="T3478" s="9"/>
      <c r="U3478" s="9"/>
      <c r="V3478" s="9"/>
      <c r="W3478" s="9"/>
      <c r="X3478" s="9"/>
      <c r="Y3478" s="9"/>
      <c r="Z3478" s="9"/>
      <c r="AA3478" s="9"/>
    </row>
    <row r="3479">
      <c r="A3479" s="9"/>
      <c r="B3479" s="9"/>
      <c r="C3479" s="9"/>
      <c r="D3479" s="9"/>
      <c r="E3479" s="9"/>
      <c r="F3479" s="9"/>
      <c r="G3479" s="10"/>
      <c r="H3479" s="9"/>
      <c r="I3479" s="15"/>
      <c r="J3479" s="9"/>
      <c r="K3479" s="9"/>
      <c r="L3479" s="9"/>
      <c r="M3479" s="9"/>
      <c r="N3479" s="9"/>
      <c r="O3479" s="9"/>
      <c r="P3479" s="9"/>
      <c r="Q3479" s="9"/>
      <c r="R3479" s="9"/>
      <c r="S3479" s="9"/>
      <c r="T3479" s="9"/>
      <c r="U3479" s="9"/>
      <c r="V3479" s="9"/>
      <c r="W3479" s="9"/>
      <c r="X3479" s="9"/>
      <c r="Y3479" s="9"/>
      <c r="Z3479" s="9"/>
      <c r="AA3479" s="9"/>
    </row>
    <row r="3480">
      <c r="A3480" s="9"/>
      <c r="B3480" s="9"/>
      <c r="C3480" s="9"/>
      <c r="D3480" s="9"/>
      <c r="E3480" s="9"/>
      <c r="F3480" s="9"/>
      <c r="G3480" s="10"/>
      <c r="H3480" s="9"/>
      <c r="I3480" s="15"/>
      <c r="J3480" s="9"/>
      <c r="K3480" s="9"/>
      <c r="L3480" s="9"/>
      <c r="M3480" s="9"/>
      <c r="N3480" s="9"/>
      <c r="O3480" s="9"/>
      <c r="P3480" s="9"/>
      <c r="Q3480" s="9"/>
      <c r="R3480" s="9"/>
      <c r="S3480" s="9"/>
      <c r="T3480" s="9"/>
      <c r="U3480" s="9"/>
      <c r="V3480" s="9"/>
      <c r="W3480" s="9"/>
      <c r="X3480" s="9"/>
      <c r="Y3480" s="9"/>
      <c r="Z3480" s="9"/>
      <c r="AA3480" s="9"/>
    </row>
    <row r="3481">
      <c r="A3481" s="9"/>
      <c r="B3481" s="9"/>
      <c r="C3481" s="9"/>
      <c r="D3481" s="9"/>
      <c r="E3481" s="9"/>
      <c r="F3481" s="9"/>
      <c r="G3481" s="10"/>
      <c r="H3481" s="9"/>
      <c r="I3481" s="15"/>
      <c r="J3481" s="9"/>
      <c r="K3481" s="9"/>
      <c r="L3481" s="9"/>
      <c r="M3481" s="9"/>
      <c r="N3481" s="9"/>
      <c r="O3481" s="9"/>
      <c r="P3481" s="9"/>
      <c r="Q3481" s="9"/>
      <c r="R3481" s="9"/>
      <c r="S3481" s="9"/>
      <c r="T3481" s="9"/>
      <c r="U3481" s="9"/>
      <c r="V3481" s="9"/>
      <c r="W3481" s="9"/>
      <c r="X3481" s="9"/>
      <c r="Y3481" s="9"/>
      <c r="Z3481" s="9"/>
      <c r="AA3481" s="9"/>
    </row>
    <row r="3482">
      <c r="A3482" s="9"/>
      <c r="B3482" s="9"/>
      <c r="C3482" s="9"/>
      <c r="D3482" s="9"/>
      <c r="E3482" s="9"/>
      <c r="F3482" s="9"/>
      <c r="G3482" s="10"/>
      <c r="H3482" s="9"/>
      <c r="I3482" s="15"/>
      <c r="J3482" s="9"/>
      <c r="K3482" s="9"/>
      <c r="L3482" s="9"/>
      <c r="M3482" s="9"/>
      <c r="N3482" s="9"/>
      <c r="O3482" s="9"/>
      <c r="P3482" s="9"/>
      <c r="Q3482" s="9"/>
      <c r="R3482" s="9"/>
      <c r="S3482" s="9"/>
      <c r="T3482" s="9"/>
      <c r="U3482" s="9"/>
      <c r="V3482" s="9"/>
      <c r="W3482" s="9"/>
      <c r="X3482" s="9"/>
      <c r="Y3482" s="9"/>
      <c r="Z3482" s="9"/>
      <c r="AA3482" s="9"/>
    </row>
    <row r="3483">
      <c r="A3483" s="9"/>
      <c r="B3483" s="9"/>
      <c r="C3483" s="9"/>
      <c r="D3483" s="9"/>
      <c r="E3483" s="9"/>
      <c r="F3483" s="9"/>
      <c r="G3483" s="10"/>
      <c r="H3483" s="9"/>
      <c r="I3483" s="15"/>
      <c r="J3483" s="9"/>
      <c r="K3483" s="9"/>
      <c r="L3483" s="9"/>
      <c r="M3483" s="9"/>
      <c r="N3483" s="9"/>
      <c r="O3483" s="9"/>
      <c r="P3483" s="9"/>
      <c r="Q3483" s="9"/>
      <c r="R3483" s="9"/>
      <c r="S3483" s="9"/>
      <c r="T3483" s="9"/>
      <c r="U3483" s="9"/>
      <c r="V3483" s="9"/>
      <c r="W3483" s="9"/>
      <c r="X3483" s="9"/>
      <c r="Y3483" s="9"/>
      <c r="Z3483" s="9"/>
      <c r="AA3483" s="9"/>
    </row>
    <row r="3484">
      <c r="A3484" s="9"/>
      <c r="B3484" s="9"/>
      <c r="C3484" s="9"/>
      <c r="D3484" s="9"/>
      <c r="E3484" s="9"/>
      <c r="F3484" s="9"/>
      <c r="G3484" s="10"/>
      <c r="H3484" s="9"/>
      <c r="I3484" s="15"/>
      <c r="J3484" s="9"/>
      <c r="K3484" s="9"/>
      <c r="L3484" s="9"/>
      <c r="M3484" s="9"/>
      <c r="N3484" s="9"/>
      <c r="O3484" s="9"/>
      <c r="P3484" s="9"/>
      <c r="Q3484" s="9"/>
      <c r="R3484" s="9"/>
      <c r="S3484" s="9"/>
      <c r="T3484" s="9"/>
      <c r="U3484" s="9"/>
      <c r="V3484" s="9"/>
      <c r="W3484" s="9"/>
      <c r="X3484" s="9"/>
      <c r="Y3484" s="9"/>
      <c r="Z3484" s="9"/>
      <c r="AA3484" s="9"/>
    </row>
    <row r="3485">
      <c r="A3485" s="9"/>
      <c r="B3485" s="9"/>
      <c r="C3485" s="9"/>
      <c r="D3485" s="9"/>
      <c r="E3485" s="9"/>
      <c r="F3485" s="9"/>
      <c r="G3485" s="10"/>
      <c r="H3485" s="9"/>
      <c r="I3485" s="15"/>
      <c r="J3485" s="9"/>
      <c r="K3485" s="9"/>
      <c r="L3485" s="9"/>
      <c r="M3485" s="9"/>
      <c r="N3485" s="9"/>
      <c r="O3485" s="9"/>
      <c r="P3485" s="9"/>
      <c r="Q3485" s="9"/>
      <c r="R3485" s="9"/>
      <c r="S3485" s="9"/>
      <c r="T3485" s="9"/>
      <c r="U3485" s="9"/>
      <c r="V3485" s="9"/>
      <c r="W3485" s="9"/>
      <c r="X3485" s="9"/>
      <c r="Y3485" s="9"/>
      <c r="Z3485" s="9"/>
      <c r="AA3485" s="9"/>
    </row>
    <row r="3486">
      <c r="A3486" s="9"/>
      <c r="B3486" s="9"/>
      <c r="C3486" s="9"/>
      <c r="D3486" s="9"/>
      <c r="E3486" s="9"/>
      <c r="F3486" s="9"/>
      <c r="G3486" s="10"/>
      <c r="H3486" s="9"/>
      <c r="I3486" s="15"/>
      <c r="J3486" s="9"/>
      <c r="K3486" s="9"/>
      <c r="L3486" s="9"/>
      <c r="M3486" s="9"/>
      <c r="N3486" s="9"/>
      <c r="O3486" s="9"/>
      <c r="P3486" s="9"/>
      <c r="Q3486" s="9"/>
      <c r="R3486" s="9"/>
      <c r="S3486" s="9"/>
      <c r="T3486" s="9"/>
      <c r="U3486" s="9"/>
      <c r="V3486" s="9"/>
      <c r="W3486" s="9"/>
      <c r="X3486" s="9"/>
      <c r="Y3486" s="9"/>
      <c r="Z3486" s="9"/>
      <c r="AA3486" s="9"/>
    </row>
    <row r="3487">
      <c r="A3487" s="9"/>
      <c r="B3487" s="9"/>
      <c r="C3487" s="9"/>
      <c r="D3487" s="9"/>
      <c r="E3487" s="9"/>
      <c r="F3487" s="9"/>
      <c r="G3487" s="10"/>
      <c r="H3487" s="9"/>
      <c r="I3487" s="15"/>
      <c r="J3487" s="9"/>
      <c r="K3487" s="9"/>
      <c r="L3487" s="9"/>
      <c r="M3487" s="9"/>
      <c r="N3487" s="9"/>
      <c r="O3487" s="9"/>
      <c r="P3487" s="9"/>
      <c r="Q3487" s="9"/>
      <c r="R3487" s="9"/>
      <c r="S3487" s="9"/>
      <c r="T3487" s="9"/>
      <c r="U3487" s="9"/>
      <c r="V3487" s="9"/>
      <c r="W3487" s="9"/>
      <c r="X3487" s="9"/>
      <c r="Y3487" s="9"/>
      <c r="Z3487" s="9"/>
      <c r="AA3487" s="9"/>
    </row>
    <row r="3488">
      <c r="A3488" s="9"/>
      <c r="B3488" s="9"/>
      <c r="C3488" s="9"/>
      <c r="D3488" s="9"/>
      <c r="E3488" s="9"/>
      <c r="F3488" s="9"/>
      <c r="G3488" s="10"/>
      <c r="H3488" s="9"/>
      <c r="I3488" s="15"/>
      <c r="J3488" s="9"/>
      <c r="K3488" s="9"/>
      <c r="L3488" s="9"/>
      <c r="M3488" s="9"/>
      <c r="N3488" s="9"/>
      <c r="O3488" s="9"/>
      <c r="P3488" s="9"/>
      <c r="Q3488" s="9"/>
      <c r="R3488" s="9"/>
      <c r="S3488" s="9"/>
      <c r="T3488" s="9"/>
      <c r="U3488" s="9"/>
      <c r="V3488" s="9"/>
      <c r="W3488" s="9"/>
      <c r="X3488" s="9"/>
      <c r="Y3488" s="9"/>
      <c r="Z3488" s="9"/>
      <c r="AA3488" s="9"/>
    </row>
    <row r="3489">
      <c r="A3489" s="9"/>
      <c r="B3489" s="9"/>
      <c r="C3489" s="9"/>
      <c r="D3489" s="9"/>
      <c r="E3489" s="9"/>
      <c r="F3489" s="9"/>
      <c r="G3489" s="10"/>
      <c r="H3489" s="9"/>
      <c r="I3489" s="15"/>
      <c r="J3489" s="9"/>
      <c r="K3489" s="9"/>
      <c r="L3489" s="9"/>
      <c r="M3489" s="9"/>
      <c r="N3489" s="9"/>
      <c r="O3489" s="9"/>
      <c r="P3489" s="9"/>
      <c r="Q3489" s="9"/>
      <c r="R3489" s="9"/>
      <c r="S3489" s="9"/>
      <c r="T3489" s="9"/>
      <c r="U3489" s="9"/>
      <c r="V3489" s="9"/>
      <c r="W3489" s="9"/>
      <c r="X3489" s="9"/>
      <c r="Y3489" s="9"/>
      <c r="Z3489" s="9"/>
      <c r="AA3489" s="9"/>
    </row>
    <row r="3490">
      <c r="A3490" s="9"/>
      <c r="B3490" s="9"/>
      <c r="C3490" s="9"/>
      <c r="D3490" s="9"/>
      <c r="E3490" s="9"/>
      <c r="F3490" s="9"/>
      <c r="G3490" s="10"/>
      <c r="H3490" s="9"/>
      <c r="I3490" s="15"/>
      <c r="J3490" s="9"/>
      <c r="K3490" s="9"/>
      <c r="L3490" s="9"/>
      <c r="M3490" s="9"/>
      <c r="N3490" s="9"/>
      <c r="O3490" s="9"/>
      <c r="P3490" s="9"/>
      <c r="Q3490" s="9"/>
      <c r="R3490" s="9"/>
      <c r="S3490" s="9"/>
      <c r="T3490" s="9"/>
      <c r="U3490" s="9"/>
      <c r="V3490" s="9"/>
      <c r="W3490" s="9"/>
      <c r="X3490" s="9"/>
      <c r="Y3490" s="9"/>
      <c r="Z3490" s="9"/>
      <c r="AA3490" s="9"/>
    </row>
    <row r="3491">
      <c r="A3491" s="9"/>
      <c r="B3491" s="9"/>
      <c r="C3491" s="9"/>
      <c r="D3491" s="9"/>
      <c r="E3491" s="9"/>
      <c r="F3491" s="9"/>
      <c r="G3491" s="10"/>
      <c r="H3491" s="9"/>
      <c r="I3491" s="15"/>
      <c r="J3491" s="9"/>
      <c r="K3491" s="9"/>
      <c r="L3491" s="9"/>
      <c r="M3491" s="9"/>
      <c r="N3491" s="9"/>
      <c r="O3491" s="9"/>
      <c r="P3491" s="9"/>
      <c r="Q3491" s="9"/>
      <c r="R3491" s="9"/>
      <c r="S3491" s="9"/>
      <c r="T3491" s="9"/>
      <c r="U3491" s="9"/>
      <c r="V3491" s="9"/>
      <c r="W3491" s="9"/>
      <c r="X3491" s="9"/>
      <c r="Y3491" s="9"/>
      <c r="Z3491" s="9"/>
      <c r="AA3491" s="9"/>
    </row>
    <row r="3492">
      <c r="A3492" s="9"/>
      <c r="B3492" s="9"/>
      <c r="C3492" s="9"/>
      <c r="D3492" s="9"/>
      <c r="E3492" s="9"/>
      <c r="F3492" s="9"/>
      <c r="G3492" s="10"/>
      <c r="H3492" s="9"/>
      <c r="I3492" s="15"/>
      <c r="J3492" s="9"/>
      <c r="K3492" s="9"/>
      <c r="L3492" s="9"/>
      <c r="M3492" s="9"/>
      <c r="N3492" s="9"/>
      <c r="O3492" s="9"/>
      <c r="P3492" s="9"/>
      <c r="Q3492" s="9"/>
      <c r="R3492" s="9"/>
      <c r="S3492" s="9"/>
      <c r="T3492" s="9"/>
      <c r="U3492" s="9"/>
      <c r="V3492" s="9"/>
      <c r="W3492" s="9"/>
      <c r="X3492" s="9"/>
      <c r="Y3492" s="9"/>
      <c r="Z3492" s="9"/>
      <c r="AA3492" s="9"/>
    </row>
    <row r="3493">
      <c r="A3493" s="9"/>
      <c r="B3493" s="9"/>
      <c r="C3493" s="9"/>
      <c r="D3493" s="9"/>
      <c r="E3493" s="9"/>
      <c r="F3493" s="9"/>
      <c r="G3493" s="10"/>
      <c r="H3493" s="9"/>
      <c r="I3493" s="15"/>
      <c r="J3493" s="9"/>
      <c r="K3493" s="9"/>
      <c r="L3493" s="9"/>
      <c r="M3493" s="9"/>
      <c r="N3493" s="9"/>
      <c r="O3493" s="9"/>
      <c r="P3493" s="9"/>
      <c r="Q3493" s="9"/>
      <c r="R3493" s="9"/>
      <c r="S3493" s="9"/>
      <c r="T3493" s="9"/>
      <c r="U3493" s="9"/>
      <c r="V3493" s="9"/>
      <c r="W3493" s="9"/>
      <c r="X3493" s="9"/>
      <c r="Y3493" s="9"/>
      <c r="Z3493" s="9"/>
      <c r="AA3493" s="9"/>
    </row>
    <row r="3494">
      <c r="A3494" s="9"/>
      <c r="B3494" s="9"/>
      <c r="C3494" s="9"/>
      <c r="D3494" s="9"/>
      <c r="E3494" s="9"/>
      <c r="F3494" s="9"/>
      <c r="G3494" s="10"/>
      <c r="H3494" s="9"/>
      <c r="I3494" s="15"/>
      <c r="J3494" s="9"/>
      <c r="K3494" s="9"/>
      <c r="L3494" s="9"/>
      <c r="M3494" s="9"/>
      <c r="N3494" s="9"/>
      <c r="O3494" s="9"/>
      <c r="P3494" s="9"/>
      <c r="Q3494" s="9"/>
      <c r="R3494" s="9"/>
      <c r="S3494" s="9"/>
      <c r="T3494" s="9"/>
      <c r="U3494" s="9"/>
      <c r="V3494" s="9"/>
      <c r="W3494" s="9"/>
      <c r="X3494" s="9"/>
      <c r="Y3494" s="9"/>
      <c r="Z3494" s="9"/>
      <c r="AA3494" s="9"/>
    </row>
    <row r="3495">
      <c r="A3495" s="9"/>
      <c r="B3495" s="9"/>
      <c r="C3495" s="9"/>
      <c r="D3495" s="9"/>
      <c r="E3495" s="9"/>
      <c r="F3495" s="9"/>
      <c r="G3495" s="10"/>
      <c r="H3495" s="9"/>
      <c r="I3495" s="15"/>
      <c r="J3495" s="9"/>
      <c r="K3495" s="9"/>
      <c r="L3495" s="9"/>
      <c r="M3495" s="9"/>
      <c r="N3495" s="9"/>
      <c r="O3495" s="9"/>
      <c r="P3495" s="9"/>
      <c r="Q3495" s="9"/>
      <c r="R3495" s="9"/>
      <c r="S3495" s="9"/>
      <c r="T3495" s="9"/>
      <c r="U3495" s="9"/>
      <c r="V3495" s="9"/>
      <c r="W3495" s="9"/>
      <c r="X3495" s="9"/>
      <c r="Y3495" s="9"/>
      <c r="Z3495" s="9"/>
      <c r="AA3495" s="9"/>
    </row>
    <row r="3496">
      <c r="A3496" s="9"/>
      <c r="B3496" s="9"/>
      <c r="C3496" s="9"/>
      <c r="D3496" s="9"/>
      <c r="E3496" s="9"/>
      <c r="F3496" s="9"/>
      <c r="G3496" s="10"/>
      <c r="H3496" s="9"/>
      <c r="I3496" s="15"/>
      <c r="J3496" s="9"/>
      <c r="K3496" s="9"/>
      <c r="L3496" s="9"/>
      <c r="M3496" s="9"/>
      <c r="N3496" s="9"/>
      <c r="O3496" s="9"/>
      <c r="P3496" s="9"/>
      <c r="Q3496" s="9"/>
      <c r="R3496" s="9"/>
      <c r="S3496" s="9"/>
      <c r="T3496" s="9"/>
      <c r="U3496" s="9"/>
      <c r="V3496" s="9"/>
      <c r="W3496" s="9"/>
      <c r="X3496" s="9"/>
      <c r="Y3496" s="9"/>
      <c r="Z3496" s="9"/>
      <c r="AA3496" s="9"/>
    </row>
    <row r="3497">
      <c r="A3497" s="9"/>
      <c r="B3497" s="9"/>
      <c r="C3497" s="9"/>
      <c r="D3497" s="9"/>
      <c r="E3497" s="9"/>
      <c r="F3497" s="9"/>
      <c r="G3497" s="10"/>
      <c r="H3497" s="9"/>
      <c r="I3497" s="15"/>
      <c r="J3497" s="9"/>
      <c r="K3497" s="9"/>
      <c r="L3497" s="9"/>
      <c r="M3497" s="9"/>
      <c r="N3497" s="9"/>
      <c r="O3497" s="9"/>
      <c r="P3497" s="9"/>
      <c r="Q3497" s="9"/>
      <c r="R3497" s="9"/>
      <c r="S3497" s="9"/>
      <c r="T3497" s="9"/>
      <c r="U3497" s="9"/>
      <c r="V3497" s="9"/>
      <c r="W3497" s="9"/>
      <c r="X3497" s="9"/>
      <c r="Y3497" s="9"/>
      <c r="Z3497" s="9"/>
      <c r="AA3497" s="9"/>
    </row>
    <row r="3498">
      <c r="A3498" s="9"/>
      <c r="B3498" s="9"/>
      <c r="C3498" s="9"/>
      <c r="D3498" s="9"/>
      <c r="E3498" s="9"/>
      <c r="F3498" s="9"/>
      <c r="G3498" s="10"/>
      <c r="H3498" s="9"/>
      <c r="I3498" s="15"/>
      <c r="J3498" s="9"/>
      <c r="K3498" s="9"/>
      <c r="L3498" s="9"/>
      <c r="M3498" s="9"/>
      <c r="N3498" s="9"/>
      <c r="O3498" s="9"/>
      <c r="P3498" s="9"/>
      <c r="Q3498" s="9"/>
      <c r="R3498" s="9"/>
      <c r="S3498" s="9"/>
      <c r="T3498" s="9"/>
      <c r="U3498" s="9"/>
      <c r="V3498" s="9"/>
      <c r="W3498" s="9"/>
      <c r="X3498" s="9"/>
      <c r="Y3498" s="9"/>
      <c r="Z3498" s="9"/>
      <c r="AA3498" s="9"/>
    </row>
    <row r="3499">
      <c r="A3499" s="9"/>
      <c r="B3499" s="9"/>
      <c r="C3499" s="9"/>
      <c r="D3499" s="9"/>
      <c r="E3499" s="9"/>
      <c r="F3499" s="9"/>
      <c r="G3499" s="10"/>
      <c r="H3499" s="9"/>
      <c r="I3499" s="15"/>
      <c r="J3499" s="9"/>
      <c r="K3499" s="9"/>
      <c r="L3499" s="9"/>
      <c r="M3499" s="9"/>
      <c r="N3499" s="9"/>
      <c r="O3499" s="9"/>
      <c r="P3499" s="9"/>
      <c r="Q3499" s="9"/>
      <c r="R3499" s="9"/>
      <c r="S3499" s="9"/>
      <c r="T3499" s="9"/>
      <c r="U3499" s="9"/>
      <c r="V3499" s="9"/>
      <c r="W3499" s="9"/>
      <c r="X3499" s="9"/>
      <c r="Y3499" s="9"/>
      <c r="Z3499" s="9"/>
      <c r="AA3499" s="9"/>
    </row>
    <row r="3500">
      <c r="A3500" s="9"/>
      <c r="B3500" s="9"/>
      <c r="C3500" s="9"/>
      <c r="D3500" s="9"/>
      <c r="E3500" s="9"/>
      <c r="F3500" s="9"/>
      <c r="G3500" s="10"/>
      <c r="H3500" s="9"/>
      <c r="I3500" s="15"/>
      <c r="J3500" s="9"/>
      <c r="K3500" s="9"/>
      <c r="L3500" s="9"/>
      <c r="M3500" s="9"/>
      <c r="N3500" s="9"/>
      <c r="O3500" s="9"/>
      <c r="P3500" s="9"/>
      <c r="Q3500" s="9"/>
      <c r="R3500" s="9"/>
      <c r="S3500" s="9"/>
      <c r="T3500" s="9"/>
      <c r="U3500" s="9"/>
      <c r="V3500" s="9"/>
      <c r="W3500" s="9"/>
      <c r="X3500" s="9"/>
      <c r="Y3500" s="9"/>
      <c r="Z3500" s="9"/>
      <c r="AA3500" s="9"/>
    </row>
    <row r="3501">
      <c r="A3501" s="9"/>
      <c r="B3501" s="9"/>
      <c r="C3501" s="9"/>
      <c r="D3501" s="9"/>
      <c r="E3501" s="9"/>
      <c r="F3501" s="9"/>
      <c r="G3501" s="10"/>
      <c r="H3501" s="9"/>
      <c r="I3501" s="15"/>
      <c r="J3501" s="9"/>
      <c r="K3501" s="9"/>
      <c r="L3501" s="9"/>
      <c r="M3501" s="9"/>
      <c r="N3501" s="9"/>
      <c r="O3501" s="9"/>
      <c r="P3501" s="9"/>
      <c r="Q3501" s="9"/>
      <c r="R3501" s="9"/>
      <c r="S3501" s="9"/>
      <c r="T3501" s="9"/>
      <c r="U3501" s="9"/>
      <c r="V3501" s="9"/>
      <c r="W3501" s="9"/>
      <c r="X3501" s="9"/>
      <c r="Y3501" s="9"/>
      <c r="Z3501" s="9"/>
      <c r="AA3501" s="9"/>
    </row>
    <row r="3502">
      <c r="A3502" s="9"/>
      <c r="B3502" s="9"/>
      <c r="C3502" s="9"/>
      <c r="D3502" s="9"/>
      <c r="E3502" s="9"/>
      <c r="F3502" s="9"/>
      <c r="G3502" s="10"/>
      <c r="H3502" s="9"/>
      <c r="I3502" s="15"/>
      <c r="J3502" s="9"/>
      <c r="K3502" s="9"/>
      <c r="L3502" s="9"/>
      <c r="M3502" s="9"/>
      <c r="N3502" s="9"/>
      <c r="O3502" s="9"/>
      <c r="P3502" s="9"/>
      <c r="Q3502" s="9"/>
      <c r="R3502" s="9"/>
      <c r="S3502" s="9"/>
      <c r="T3502" s="9"/>
      <c r="U3502" s="9"/>
      <c r="V3502" s="9"/>
      <c r="W3502" s="9"/>
      <c r="X3502" s="9"/>
      <c r="Y3502" s="9"/>
      <c r="Z3502" s="9"/>
      <c r="AA3502" s="9"/>
    </row>
    <row r="3503">
      <c r="A3503" s="9"/>
      <c r="B3503" s="9"/>
      <c r="C3503" s="9"/>
      <c r="D3503" s="9"/>
      <c r="E3503" s="9"/>
      <c r="F3503" s="9"/>
      <c r="G3503" s="10"/>
      <c r="H3503" s="9"/>
      <c r="I3503" s="15"/>
      <c r="J3503" s="9"/>
      <c r="K3503" s="9"/>
      <c r="L3503" s="9"/>
      <c r="M3503" s="9"/>
      <c r="N3503" s="9"/>
      <c r="O3503" s="9"/>
      <c r="P3503" s="9"/>
      <c r="Q3503" s="9"/>
      <c r="R3503" s="9"/>
      <c r="S3503" s="9"/>
      <c r="T3503" s="9"/>
      <c r="U3503" s="9"/>
      <c r="V3503" s="9"/>
      <c r="W3503" s="9"/>
      <c r="X3503" s="9"/>
      <c r="Y3503" s="9"/>
      <c r="Z3503" s="9"/>
      <c r="AA3503" s="9"/>
    </row>
    <row r="3504">
      <c r="A3504" s="9"/>
      <c r="B3504" s="9"/>
      <c r="C3504" s="9"/>
      <c r="D3504" s="9"/>
      <c r="E3504" s="9"/>
      <c r="F3504" s="9"/>
      <c r="G3504" s="10"/>
      <c r="H3504" s="9"/>
      <c r="I3504" s="15"/>
      <c r="J3504" s="9"/>
      <c r="K3504" s="9"/>
      <c r="L3504" s="9"/>
      <c r="M3504" s="9"/>
      <c r="N3504" s="9"/>
      <c r="O3504" s="9"/>
      <c r="P3504" s="9"/>
      <c r="Q3504" s="9"/>
      <c r="R3504" s="9"/>
      <c r="S3504" s="9"/>
      <c r="T3504" s="9"/>
      <c r="U3504" s="9"/>
      <c r="V3504" s="9"/>
      <c r="W3504" s="9"/>
      <c r="X3504" s="9"/>
      <c r="Y3504" s="9"/>
      <c r="Z3504" s="9"/>
      <c r="AA3504" s="9"/>
    </row>
    <row r="3505">
      <c r="A3505" s="9"/>
      <c r="B3505" s="9"/>
      <c r="C3505" s="9"/>
      <c r="D3505" s="9"/>
      <c r="E3505" s="9"/>
      <c r="F3505" s="9"/>
      <c r="G3505" s="10"/>
      <c r="H3505" s="9"/>
      <c r="I3505" s="15"/>
      <c r="J3505" s="9"/>
      <c r="K3505" s="9"/>
      <c r="L3505" s="9"/>
      <c r="M3505" s="9"/>
      <c r="N3505" s="9"/>
      <c r="O3505" s="9"/>
      <c r="P3505" s="9"/>
      <c r="Q3505" s="9"/>
      <c r="R3505" s="9"/>
      <c r="S3505" s="9"/>
      <c r="T3505" s="9"/>
      <c r="U3505" s="9"/>
      <c r="V3505" s="9"/>
      <c r="W3505" s="9"/>
      <c r="X3505" s="9"/>
      <c r="Y3505" s="9"/>
      <c r="Z3505" s="9"/>
      <c r="AA3505" s="9"/>
    </row>
    <row r="3506">
      <c r="A3506" s="9"/>
      <c r="B3506" s="9"/>
      <c r="C3506" s="9"/>
      <c r="D3506" s="9"/>
      <c r="E3506" s="9"/>
      <c r="F3506" s="9"/>
      <c r="G3506" s="10"/>
      <c r="H3506" s="9"/>
      <c r="I3506" s="15"/>
      <c r="J3506" s="9"/>
      <c r="K3506" s="9"/>
      <c r="L3506" s="9"/>
      <c r="M3506" s="9"/>
      <c r="N3506" s="9"/>
      <c r="O3506" s="9"/>
      <c r="P3506" s="9"/>
      <c r="Q3506" s="9"/>
      <c r="R3506" s="9"/>
      <c r="S3506" s="9"/>
      <c r="T3506" s="9"/>
      <c r="U3506" s="9"/>
      <c r="V3506" s="9"/>
      <c r="W3506" s="9"/>
      <c r="X3506" s="9"/>
      <c r="Y3506" s="9"/>
      <c r="Z3506" s="9"/>
      <c r="AA3506" s="9"/>
    </row>
    <row r="3507">
      <c r="A3507" s="9"/>
      <c r="B3507" s="9"/>
      <c r="C3507" s="9"/>
      <c r="D3507" s="9"/>
      <c r="E3507" s="9"/>
      <c r="F3507" s="9"/>
      <c r="G3507" s="10"/>
      <c r="H3507" s="9"/>
      <c r="I3507" s="15"/>
      <c r="J3507" s="9"/>
      <c r="K3507" s="9"/>
      <c r="L3507" s="9"/>
      <c r="M3507" s="9"/>
      <c r="N3507" s="9"/>
      <c r="O3507" s="9"/>
      <c r="P3507" s="9"/>
      <c r="Q3507" s="9"/>
      <c r="R3507" s="9"/>
      <c r="S3507" s="9"/>
      <c r="T3507" s="9"/>
      <c r="U3507" s="9"/>
      <c r="V3507" s="9"/>
      <c r="W3507" s="9"/>
      <c r="X3507" s="9"/>
      <c r="Y3507" s="9"/>
      <c r="Z3507" s="9"/>
      <c r="AA3507" s="9"/>
    </row>
    <row r="3508">
      <c r="A3508" s="9"/>
      <c r="B3508" s="9"/>
      <c r="C3508" s="9"/>
      <c r="D3508" s="9"/>
      <c r="E3508" s="9"/>
      <c r="F3508" s="9"/>
      <c r="G3508" s="10"/>
      <c r="H3508" s="9"/>
      <c r="I3508" s="15"/>
      <c r="J3508" s="9"/>
      <c r="K3508" s="9"/>
      <c r="L3508" s="9"/>
      <c r="M3508" s="9"/>
      <c r="N3508" s="9"/>
      <c r="O3508" s="9"/>
      <c r="P3508" s="9"/>
      <c r="Q3508" s="9"/>
      <c r="R3508" s="9"/>
      <c r="S3508" s="9"/>
      <c r="T3508" s="9"/>
      <c r="U3508" s="9"/>
      <c r="V3508" s="9"/>
      <c r="W3508" s="9"/>
      <c r="X3508" s="9"/>
      <c r="Y3508" s="9"/>
      <c r="Z3508" s="9"/>
      <c r="AA3508" s="9"/>
    </row>
    <row r="3509">
      <c r="A3509" s="9"/>
      <c r="B3509" s="9"/>
      <c r="C3509" s="9"/>
      <c r="D3509" s="9"/>
      <c r="E3509" s="9"/>
      <c r="F3509" s="9"/>
      <c r="G3509" s="10"/>
      <c r="H3509" s="9"/>
      <c r="I3509" s="15"/>
      <c r="J3509" s="9"/>
      <c r="K3509" s="9"/>
      <c r="L3509" s="9"/>
      <c r="M3509" s="9"/>
      <c r="N3509" s="9"/>
      <c r="O3509" s="9"/>
      <c r="P3509" s="9"/>
      <c r="Q3509" s="9"/>
      <c r="R3509" s="9"/>
      <c r="S3509" s="9"/>
      <c r="T3509" s="9"/>
      <c r="U3509" s="9"/>
      <c r="V3509" s="9"/>
      <c r="W3509" s="9"/>
      <c r="X3509" s="9"/>
      <c r="Y3509" s="9"/>
      <c r="Z3509" s="9"/>
      <c r="AA3509" s="9"/>
    </row>
    <row r="3510">
      <c r="A3510" s="9"/>
      <c r="B3510" s="9"/>
      <c r="C3510" s="9"/>
      <c r="D3510" s="9"/>
      <c r="E3510" s="9"/>
      <c r="F3510" s="9"/>
      <c r="G3510" s="10"/>
      <c r="H3510" s="9"/>
      <c r="I3510" s="15"/>
      <c r="J3510" s="9"/>
      <c r="K3510" s="9"/>
      <c r="L3510" s="9"/>
      <c r="M3510" s="9"/>
      <c r="N3510" s="9"/>
      <c r="O3510" s="9"/>
      <c r="P3510" s="9"/>
      <c r="Q3510" s="9"/>
      <c r="R3510" s="9"/>
      <c r="S3510" s="9"/>
      <c r="T3510" s="9"/>
      <c r="U3510" s="9"/>
      <c r="V3510" s="9"/>
      <c r="W3510" s="9"/>
      <c r="X3510" s="9"/>
      <c r="Y3510" s="9"/>
      <c r="Z3510" s="9"/>
      <c r="AA3510" s="9"/>
    </row>
    <row r="3511">
      <c r="A3511" s="9"/>
      <c r="B3511" s="9"/>
      <c r="C3511" s="9"/>
      <c r="D3511" s="9"/>
      <c r="E3511" s="9"/>
      <c r="F3511" s="9"/>
      <c r="G3511" s="10"/>
      <c r="H3511" s="9"/>
      <c r="I3511" s="15"/>
      <c r="J3511" s="9"/>
      <c r="K3511" s="9"/>
      <c r="L3511" s="9"/>
      <c r="M3511" s="9"/>
      <c r="N3511" s="9"/>
      <c r="O3511" s="9"/>
      <c r="P3511" s="9"/>
      <c r="Q3511" s="9"/>
      <c r="R3511" s="9"/>
      <c r="S3511" s="9"/>
      <c r="T3511" s="9"/>
      <c r="U3511" s="9"/>
      <c r="V3511" s="9"/>
      <c r="W3511" s="9"/>
      <c r="X3511" s="9"/>
      <c r="Y3511" s="9"/>
      <c r="Z3511" s="9"/>
      <c r="AA3511" s="9"/>
    </row>
    <row r="3512">
      <c r="A3512" s="9"/>
      <c r="B3512" s="9"/>
      <c r="C3512" s="9"/>
      <c r="D3512" s="9"/>
      <c r="E3512" s="9"/>
      <c r="F3512" s="9"/>
      <c r="G3512" s="10"/>
      <c r="H3512" s="9"/>
      <c r="I3512" s="15"/>
      <c r="J3512" s="9"/>
      <c r="K3512" s="9"/>
      <c r="L3512" s="9"/>
      <c r="M3512" s="9"/>
      <c r="N3512" s="9"/>
      <c r="O3512" s="9"/>
      <c r="P3512" s="9"/>
      <c r="Q3512" s="9"/>
      <c r="R3512" s="9"/>
      <c r="S3512" s="9"/>
      <c r="T3512" s="9"/>
      <c r="U3512" s="9"/>
      <c r="V3512" s="9"/>
      <c r="W3512" s="9"/>
      <c r="X3512" s="9"/>
      <c r="Y3512" s="9"/>
      <c r="Z3512" s="9"/>
      <c r="AA3512" s="9"/>
    </row>
    <row r="3513">
      <c r="A3513" s="9"/>
      <c r="B3513" s="9"/>
      <c r="C3513" s="9"/>
      <c r="D3513" s="9"/>
      <c r="E3513" s="9"/>
      <c r="F3513" s="9"/>
      <c r="G3513" s="10"/>
      <c r="H3513" s="9"/>
      <c r="I3513" s="15"/>
      <c r="J3513" s="9"/>
      <c r="K3513" s="9"/>
      <c r="L3513" s="9"/>
      <c r="M3513" s="9"/>
      <c r="N3513" s="9"/>
      <c r="O3513" s="9"/>
      <c r="P3513" s="9"/>
      <c r="Q3513" s="9"/>
      <c r="R3513" s="9"/>
      <c r="S3513" s="9"/>
      <c r="T3513" s="9"/>
      <c r="U3513" s="9"/>
      <c r="V3513" s="9"/>
      <c r="W3513" s="9"/>
      <c r="X3513" s="9"/>
      <c r="Y3513" s="9"/>
      <c r="Z3513" s="9"/>
      <c r="AA3513" s="9"/>
    </row>
    <row r="3514">
      <c r="A3514" s="9"/>
      <c r="B3514" s="9"/>
      <c r="C3514" s="9"/>
      <c r="D3514" s="9"/>
      <c r="E3514" s="9"/>
      <c r="F3514" s="9"/>
      <c r="G3514" s="10"/>
      <c r="H3514" s="9"/>
      <c r="I3514" s="15"/>
      <c r="J3514" s="9"/>
      <c r="K3514" s="9"/>
      <c r="L3514" s="9"/>
      <c r="M3514" s="9"/>
      <c r="N3514" s="9"/>
      <c r="O3514" s="9"/>
      <c r="P3514" s="9"/>
      <c r="Q3514" s="9"/>
      <c r="R3514" s="9"/>
      <c r="S3514" s="9"/>
      <c r="T3514" s="9"/>
      <c r="U3514" s="9"/>
      <c r="V3514" s="9"/>
      <c r="W3514" s="9"/>
      <c r="X3514" s="9"/>
      <c r="Y3514" s="9"/>
      <c r="Z3514" s="9"/>
      <c r="AA3514" s="9"/>
    </row>
    <row r="3515">
      <c r="A3515" s="9"/>
      <c r="B3515" s="9"/>
      <c r="C3515" s="9"/>
      <c r="D3515" s="9"/>
      <c r="E3515" s="9"/>
      <c r="F3515" s="9"/>
      <c r="G3515" s="10"/>
      <c r="H3515" s="9"/>
      <c r="I3515" s="15"/>
      <c r="J3515" s="9"/>
      <c r="K3515" s="9"/>
      <c r="L3515" s="9"/>
      <c r="M3515" s="9"/>
      <c r="N3515" s="9"/>
      <c r="O3515" s="9"/>
      <c r="P3515" s="9"/>
      <c r="Q3515" s="9"/>
      <c r="R3515" s="9"/>
      <c r="S3515" s="9"/>
      <c r="T3515" s="9"/>
      <c r="U3515" s="9"/>
      <c r="V3515" s="9"/>
      <c r="W3515" s="9"/>
      <c r="X3515" s="9"/>
      <c r="Y3515" s="9"/>
      <c r="Z3515" s="9"/>
      <c r="AA3515" s="9"/>
    </row>
    <row r="3516">
      <c r="A3516" s="9"/>
      <c r="B3516" s="9"/>
      <c r="C3516" s="9"/>
      <c r="D3516" s="9"/>
      <c r="E3516" s="9"/>
      <c r="F3516" s="9"/>
      <c r="G3516" s="10"/>
      <c r="H3516" s="9"/>
      <c r="I3516" s="15"/>
      <c r="J3516" s="9"/>
      <c r="K3516" s="9"/>
      <c r="L3516" s="9"/>
      <c r="M3516" s="9"/>
      <c r="N3516" s="9"/>
      <c r="O3516" s="9"/>
      <c r="P3516" s="9"/>
      <c r="Q3516" s="9"/>
      <c r="R3516" s="9"/>
      <c r="S3516" s="9"/>
      <c r="T3516" s="9"/>
      <c r="U3516" s="9"/>
      <c r="V3516" s="9"/>
      <c r="W3516" s="9"/>
      <c r="X3516" s="9"/>
      <c r="Y3516" s="9"/>
      <c r="Z3516" s="9"/>
      <c r="AA3516" s="9"/>
    </row>
    <row r="3517">
      <c r="A3517" s="9"/>
      <c r="B3517" s="9"/>
      <c r="C3517" s="9"/>
      <c r="D3517" s="9"/>
      <c r="E3517" s="9"/>
      <c r="F3517" s="9"/>
      <c r="G3517" s="10"/>
      <c r="H3517" s="9"/>
      <c r="I3517" s="15"/>
      <c r="J3517" s="9"/>
      <c r="K3517" s="9"/>
      <c r="L3517" s="9"/>
      <c r="M3517" s="9"/>
      <c r="N3517" s="9"/>
      <c r="O3517" s="9"/>
      <c r="P3517" s="9"/>
      <c r="Q3517" s="9"/>
      <c r="R3517" s="9"/>
      <c r="S3517" s="9"/>
      <c r="T3517" s="9"/>
      <c r="U3517" s="9"/>
      <c r="V3517" s="9"/>
      <c r="W3517" s="9"/>
      <c r="X3517" s="9"/>
      <c r="Y3517" s="9"/>
      <c r="Z3517" s="9"/>
      <c r="AA3517" s="9"/>
    </row>
    <row r="3518">
      <c r="A3518" s="9"/>
      <c r="B3518" s="9"/>
      <c r="C3518" s="9"/>
      <c r="D3518" s="9"/>
      <c r="E3518" s="9"/>
      <c r="F3518" s="9"/>
      <c r="G3518" s="10"/>
      <c r="H3518" s="9"/>
      <c r="I3518" s="15"/>
      <c r="J3518" s="9"/>
      <c r="K3518" s="9"/>
      <c r="L3518" s="9"/>
      <c r="M3518" s="9"/>
      <c r="N3518" s="9"/>
      <c r="O3518" s="9"/>
      <c r="P3518" s="9"/>
      <c r="Q3518" s="9"/>
      <c r="R3518" s="9"/>
      <c r="S3518" s="9"/>
      <c r="T3518" s="9"/>
      <c r="U3518" s="9"/>
      <c r="V3518" s="9"/>
      <c r="W3518" s="9"/>
      <c r="X3518" s="9"/>
      <c r="Y3518" s="9"/>
      <c r="Z3518" s="9"/>
      <c r="AA3518" s="9"/>
    </row>
    <row r="3519">
      <c r="A3519" s="9"/>
      <c r="B3519" s="9"/>
      <c r="C3519" s="9"/>
      <c r="D3519" s="9"/>
      <c r="E3519" s="9"/>
      <c r="F3519" s="9"/>
      <c r="G3519" s="10"/>
      <c r="H3519" s="9"/>
      <c r="I3519" s="15"/>
      <c r="J3519" s="9"/>
      <c r="K3519" s="9"/>
      <c r="L3519" s="9"/>
      <c r="M3519" s="9"/>
      <c r="N3519" s="9"/>
      <c r="O3519" s="9"/>
      <c r="P3519" s="9"/>
      <c r="Q3519" s="9"/>
      <c r="R3519" s="9"/>
      <c r="S3519" s="9"/>
      <c r="T3519" s="9"/>
      <c r="U3519" s="9"/>
      <c r="V3519" s="9"/>
      <c r="W3519" s="9"/>
      <c r="X3519" s="9"/>
      <c r="Y3519" s="9"/>
      <c r="Z3519" s="9"/>
      <c r="AA3519" s="9"/>
    </row>
    <row r="3520">
      <c r="A3520" s="9"/>
      <c r="B3520" s="9"/>
      <c r="C3520" s="9"/>
      <c r="D3520" s="9"/>
      <c r="E3520" s="9"/>
      <c r="F3520" s="9"/>
      <c r="G3520" s="10"/>
      <c r="H3520" s="9"/>
      <c r="I3520" s="15"/>
      <c r="J3520" s="9"/>
      <c r="K3520" s="9"/>
      <c r="L3520" s="9"/>
      <c r="M3520" s="9"/>
      <c r="N3520" s="9"/>
      <c r="O3520" s="9"/>
      <c r="P3520" s="9"/>
      <c r="Q3520" s="9"/>
      <c r="R3520" s="9"/>
      <c r="S3520" s="9"/>
      <c r="T3520" s="9"/>
      <c r="U3520" s="9"/>
      <c r="V3520" s="9"/>
      <c r="W3520" s="9"/>
      <c r="X3520" s="9"/>
      <c r="Y3520" s="9"/>
      <c r="Z3520" s="9"/>
      <c r="AA3520" s="9"/>
    </row>
    <row r="3521">
      <c r="A3521" s="9"/>
      <c r="B3521" s="9"/>
      <c r="C3521" s="9"/>
      <c r="D3521" s="9"/>
      <c r="E3521" s="9"/>
      <c r="F3521" s="9"/>
      <c r="G3521" s="10"/>
      <c r="H3521" s="9"/>
      <c r="I3521" s="15"/>
      <c r="J3521" s="9"/>
      <c r="K3521" s="9"/>
      <c r="L3521" s="9"/>
      <c r="M3521" s="9"/>
      <c r="N3521" s="9"/>
      <c r="O3521" s="9"/>
      <c r="P3521" s="9"/>
      <c r="Q3521" s="9"/>
      <c r="R3521" s="9"/>
      <c r="S3521" s="9"/>
      <c r="T3521" s="9"/>
      <c r="U3521" s="9"/>
      <c r="V3521" s="9"/>
      <c r="W3521" s="9"/>
      <c r="X3521" s="9"/>
      <c r="Y3521" s="9"/>
      <c r="Z3521" s="9"/>
      <c r="AA3521" s="9"/>
    </row>
    <row r="3522">
      <c r="A3522" s="9"/>
      <c r="B3522" s="9"/>
      <c r="C3522" s="9"/>
      <c r="D3522" s="9"/>
      <c r="E3522" s="9"/>
      <c r="F3522" s="9"/>
      <c r="G3522" s="10"/>
      <c r="H3522" s="9"/>
      <c r="I3522" s="15"/>
      <c r="J3522" s="9"/>
      <c r="K3522" s="9"/>
      <c r="L3522" s="9"/>
      <c r="M3522" s="9"/>
      <c r="N3522" s="9"/>
      <c r="O3522" s="9"/>
      <c r="P3522" s="9"/>
      <c r="Q3522" s="9"/>
      <c r="R3522" s="9"/>
      <c r="S3522" s="9"/>
      <c r="T3522" s="9"/>
      <c r="U3522" s="9"/>
      <c r="V3522" s="9"/>
      <c r="W3522" s="9"/>
      <c r="X3522" s="9"/>
      <c r="Y3522" s="9"/>
      <c r="Z3522" s="9"/>
      <c r="AA3522" s="9"/>
    </row>
    <row r="3523">
      <c r="A3523" s="9"/>
      <c r="B3523" s="9"/>
      <c r="C3523" s="9"/>
      <c r="D3523" s="9"/>
      <c r="E3523" s="9"/>
      <c r="F3523" s="9"/>
      <c r="G3523" s="10"/>
      <c r="H3523" s="9"/>
      <c r="I3523" s="15"/>
      <c r="J3523" s="9"/>
      <c r="K3523" s="9"/>
      <c r="L3523" s="9"/>
      <c r="M3523" s="9"/>
      <c r="N3523" s="9"/>
      <c r="O3523" s="9"/>
      <c r="P3523" s="9"/>
      <c r="Q3523" s="9"/>
      <c r="R3523" s="9"/>
      <c r="S3523" s="9"/>
      <c r="T3523" s="9"/>
      <c r="U3523" s="9"/>
      <c r="V3523" s="9"/>
      <c r="W3523" s="9"/>
      <c r="X3523" s="9"/>
      <c r="Y3523" s="9"/>
      <c r="Z3523" s="9"/>
      <c r="AA3523" s="9"/>
    </row>
    <row r="3524">
      <c r="A3524" s="9"/>
      <c r="B3524" s="9"/>
      <c r="C3524" s="9"/>
      <c r="D3524" s="9"/>
      <c r="E3524" s="9"/>
      <c r="F3524" s="9"/>
      <c r="G3524" s="10"/>
      <c r="H3524" s="9"/>
      <c r="I3524" s="15"/>
      <c r="J3524" s="9"/>
      <c r="K3524" s="9"/>
      <c r="L3524" s="9"/>
      <c r="M3524" s="9"/>
      <c r="N3524" s="9"/>
      <c r="O3524" s="9"/>
      <c r="P3524" s="9"/>
      <c r="Q3524" s="9"/>
      <c r="R3524" s="9"/>
      <c r="S3524" s="9"/>
      <c r="T3524" s="9"/>
      <c r="U3524" s="9"/>
      <c r="V3524" s="9"/>
      <c r="W3524" s="9"/>
      <c r="X3524" s="9"/>
      <c r="Y3524" s="9"/>
      <c r="Z3524" s="9"/>
      <c r="AA3524" s="9"/>
    </row>
    <row r="3525">
      <c r="A3525" s="9"/>
      <c r="B3525" s="9"/>
      <c r="C3525" s="9"/>
      <c r="D3525" s="9"/>
      <c r="E3525" s="9"/>
      <c r="F3525" s="9"/>
      <c r="G3525" s="10"/>
      <c r="H3525" s="9"/>
      <c r="I3525" s="15"/>
      <c r="J3525" s="9"/>
      <c r="K3525" s="9"/>
      <c r="L3525" s="9"/>
      <c r="M3525" s="9"/>
      <c r="N3525" s="9"/>
      <c r="O3525" s="9"/>
      <c r="P3525" s="9"/>
      <c r="Q3525" s="9"/>
      <c r="R3525" s="9"/>
      <c r="S3525" s="9"/>
      <c r="T3525" s="9"/>
      <c r="U3525" s="9"/>
      <c r="V3525" s="9"/>
      <c r="W3525" s="9"/>
      <c r="X3525" s="9"/>
      <c r="Y3525" s="9"/>
      <c r="Z3525" s="9"/>
      <c r="AA3525" s="9"/>
    </row>
    <row r="3526">
      <c r="A3526" s="9"/>
      <c r="B3526" s="9"/>
      <c r="C3526" s="9"/>
      <c r="D3526" s="9"/>
      <c r="E3526" s="9"/>
      <c r="F3526" s="9"/>
      <c r="G3526" s="10"/>
      <c r="H3526" s="9"/>
      <c r="I3526" s="15"/>
      <c r="J3526" s="9"/>
      <c r="K3526" s="9"/>
      <c r="L3526" s="9"/>
      <c r="M3526" s="9"/>
      <c r="N3526" s="9"/>
      <c r="O3526" s="9"/>
      <c r="P3526" s="9"/>
      <c r="Q3526" s="9"/>
      <c r="R3526" s="9"/>
      <c r="S3526" s="9"/>
      <c r="T3526" s="9"/>
      <c r="U3526" s="9"/>
      <c r="V3526" s="9"/>
      <c r="W3526" s="9"/>
      <c r="X3526" s="9"/>
      <c r="Y3526" s="9"/>
      <c r="Z3526" s="9"/>
      <c r="AA3526" s="9"/>
    </row>
    <row r="3527">
      <c r="A3527" s="9"/>
      <c r="B3527" s="9"/>
      <c r="C3527" s="9"/>
      <c r="D3527" s="9"/>
      <c r="E3527" s="9"/>
      <c r="F3527" s="9"/>
      <c r="G3527" s="10"/>
      <c r="H3527" s="9"/>
      <c r="I3527" s="15"/>
      <c r="J3527" s="9"/>
      <c r="K3527" s="9"/>
      <c r="L3527" s="9"/>
      <c r="M3527" s="9"/>
      <c r="N3527" s="9"/>
      <c r="O3527" s="9"/>
      <c r="P3527" s="9"/>
      <c r="Q3527" s="9"/>
      <c r="R3527" s="9"/>
      <c r="S3527" s="9"/>
      <c r="T3527" s="9"/>
      <c r="U3527" s="9"/>
      <c r="V3527" s="9"/>
      <c r="W3527" s="9"/>
      <c r="X3527" s="9"/>
      <c r="Y3527" s="9"/>
      <c r="Z3527" s="9"/>
      <c r="AA3527" s="9"/>
    </row>
    <row r="3528">
      <c r="A3528" s="9"/>
      <c r="B3528" s="9"/>
      <c r="C3528" s="9"/>
      <c r="D3528" s="9"/>
      <c r="E3528" s="9"/>
      <c r="F3528" s="9"/>
      <c r="G3528" s="10"/>
      <c r="H3528" s="9"/>
      <c r="I3528" s="15"/>
      <c r="J3528" s="9"/>
      <c r="K3528" s="9"/>
      <c r="L3528" s="9"/>
      <c r="M3528" s="9"/>
      <c r="N3528" s="9"/>
      <c r="O3528" s="9"/>
      <c r="P3528" s="9"/>
      <c r="Q3528" s="9"/>
      <c r="R3528" s="9"/>
      <c r="S3528" s="9"/>
      <c r="T3528" s="9"/>
      <c r="U3528" s="9"/>
      <c r="V3528" s="9"/>
      <c r="W3528" s="9"/>
      <c r="X3528" s="9"/>
      <c r="Y3528" s="9"/>
      <c r="Z3528" s="9"/>
      <c r="AA3528" s="9"/>
    </row>
    <row r="3529">
      <c r="A3529" s="9"/>
      <c r="B3529" s="9"/>
      <c r="C3529" s="9"/>
      <c r="D3529" s="9"/>
      <c r="E3529" s="9"/>
      <c r="F3529" s="9"/>
      <c r="G3529" s="10"/>
      <c r="H3529" s="9"/>
      <c r="I3529" s="15"/>
      <c r="J3529" s="9"/>
      <c r="K3529" s="9"/>
      <c r="L3529" s="9"/>
      <c r="M3529" s="9"/>
      <c r="N3529" s="9"/>
      <c r="O3529" s="9"/>
      <c r="P3529" s="9"/>
      <c r="Q3529" s="9"/>
      <c r="R3529" s="9"/>
      <c r="S3529" s="9"/>
      <c r="T3529" s="9"/>
      <c r="U3529" s="9"/>
      <c r="V3529" s="9"/>
      <c r="W3529" s="9"/>
      <c r="X3529" s="9"/>
      <c r="Y3529" s="9"/>
      <c r="Z3529" s="9"/>
      <c r="AA3529" s="9"/>
    </row>
    <row r="3530">
      <c r="A3530" s="9"/>
      <c r="B3530" s="9"/>
      <c r="C3530" s="9"/>
      <c r="D3530" s="9"/>
      <c r="E3530" s="9"/>
      <c r="F3530" s="9"/>
      <c r="G3530" s="10"/>
      <c r="H3530" s="9"/>
      <c r="I3530" s="15"/>
      <c r="J3530" s="9"/>
      <c r="K3530" s="9"/>
      <c r="L3530" s="9"/>
      <c r="M3530" s="9"/>
      <c r="N3530" s="9"/>
      <c r="O3530" s="9"/>
      <c r="P3530" s="9"/>
      <c r="Q3530" s="9"/>
      <c r="R3530" s="9"/>
      <c r="S3530" s="9"/>
      <c r="T3530" s="9"/>
      <c r="U3530" s="9"/>
      <c r="V3530" s="9"/>
      <c r="W3530" s="9"/>
      <c r="X3530" s="9"/>
      <c r="Y3530" s="9"/>
      <c r="Z3530" s="9"/>
      <c r="AA3530" s="9"/>
    </row>
    <row r="3531">
      <c r="A3531" s="9"/>
      <c r="B3531" s="9"/>
      <c r="C3531" s="9"/>
      <c r="D3531" s="9"/>
      <c r="E3531" s="9"/>
      <c r="F3531" s="9"/>
      <c r="G3531" s="10"/>
      <c r="H3531" s="9"/>
      <c r="I3531" s="15"/>
      <c r="J3531" s="9"/>
      <c r="K3531" s="9"/>
      <c r="L3531" s="9"/>
      <c r="M3531" s="9"/>
      <c r="N3531" s="9"/>
      <c r="O3531" s="9"/>
      <c r="P3531" s="9"/>
      <c r="Q3531" s="9"/>
      <c r="R3531" s="9"/>
      <c r="S3531" s="9"/>
      <c r="T3531" s="9"/>
      <c r="U3531" s="9"/>
      <c r="V3531" s="9"/>
      <c r="W3531" s="9"/>
      <c r="X3531" s="9"/>
      <c r="Y3531" s="9"/>
      <c r="Z3531" s="9"/>
      <c r="AA3531" s="9"/>
    </row>
    <row r="3532">
      <c r="A3532" s="9"/>
      <c r="B3532" s="9"/>
      <c r="C3532" s="9"/>
      <c r="D3532" s="9"/>
      <c r="E3532" s="9"/>
      <c r="F3532" s="9"/>
      <c r="G3532" s="10"/>
      <c r="H3532" s="9"/>
      <c r="I3532" s="15"/>
      <c r="J3532" s="9"/>
      <c r="K3532" s="9"/>
      <c r="L3532" s="9"/>
      <c r="M3532" s="9"/>
      <c r="N3532" s="9"/>
      <c r="O3532" s="9"/>
      <c r="P3532" s="9"/>
      <c r="Q3532" s="9"/>
      <c r="R3532" s="9"/>
      <c r="S3532" s="9"/>
      <c r="T3532" s="9"/>
      <c r="U3532" s="9"/>
      <c r="V3532" s="9"/>
      <c r="W3532" s="9"/>
      <c r="X3532" s="9"/>
      <c r="Y3532" s="9"/>
      <c r="Z3532" s="9"/>
      <c r="AA3532" s="9"/>
    </row>
    <row r="3533">
      <c r="A3533" s="9"/>
      <c r="B3533" s="9"/>
      <c r="C3533" s="9"/>
      <c r="D3533" s="9"/>
      <c r="E3533" s="9"/>
      <c r="F3533" s="9"/>
      <c r="G3533" s="10"/>
      <c r="H3533" s="9"/>
      <c r="I3533" s="15"/>
      <c r="J3533" s="9"/>
      <c r="K3533" s="9"/>
      <c r="L3533" s="9"/>
      <c r="M3533" s="9"/>
      <c r="N3533" s="9"/>
      <c r="O3533" s="9"/>
      <c r="P3533" s="9"/>
      <c r="Q3533" s="9"/>
      <c r="R3533" s="9"/>
      <c r="S3533" s="9"/>
      <c r="T3533" s="9"/>
      <c r="U3533" s="9"/>
      <c r="V3533" s="9"/>
      <c r="W3533" s="9"/>
      <c r="X3533" s="9"/>
      <c r="Y3533" s="9"/>
      <c r="Z3533" s="9"/>
      <c r="AA3533" s="9"/>
    </row>
    <row r="3534">
      <c r="A3534" s="9"/>
      <c r="B3534" s="9"/>
      <c r="C3534" s="9"/>
      <c r="D3534" s="9"/>
      <c r="E3534" s="9"/>
      <c r="F3534" s="9"/>
      <c r="G3534" s="10"/>
      <c r="H3534" s="9"/>
      <c r="I3534" s="15"/>
      <c r="J3534" s="9"/>
      <c r="K3534" s="9"/>
      <c r="L3534" s="9"/>
      <c r="M3534" s="9"/>
      <c r="N3534" s="9"/>
      <c r="O3534" s="9"/>
      <c r="P3534" s="9"/>
      <c r="Q3534" s="9"/>
      <c r="R3534" s="9"/>
      <c r="S3534" s="9"/>
      <c r="T3534" s="9"/>
      <c r="U3534" s="9"/>
      <c r="V3534" s="9"/>
      <c r="W3534" s="9"/>
      <c r="X3534" s="9"/>
      <c r="Y3534" s="9"/>
      <c r="Z3534" s="9"/>
      <c r="AA3534" s="9"/>
    </row>
    <row r="3535">
      <c r="A3535" s="9"/>
      <c r="B3535" s="9"/>
      <c r="C3535" s="9"/>
      <c r="D3535" s="9"/>
      <c r="E3535" s="9"/>
      <c r="F3535" s="9"/>
      <c r="G3535" s="10"/>
      <c r="H3535" s="9"/>
      <c r="I3535" s="15"/>
      <c r="J3535" s="9"/>
      <c r="K3535" s="9"/>
      <c r="L3535" s="9"/>
      <c r="M3535" s="9"/>
      <c r="N3535" s="9"/>
      <c r="O3535" s="9"/>
      <c r="P3535" s="9"/>
      <c r="Q3535" s="9"/>
      <c r="R3535" s="9"/>
      <c r="S3535" s="9"/>
      <c r="T3535" s="9"/>
      <c r="U3535" s="9"/>
      <c r="V3535" s="9"/>
      <c r="W3535" s="9"/>
      <c r="X3535" s="9"/>
      <c r="Y3535" s="9"/>
      <c r="Z3535" s="9"/>
      <c r="AA3535" s="9"/>
    </row>
    <row r="3536">
      <c r="A3536" s="9"/>
      <c r="B3536" s="9"/>
      <c r="C3536" s="9"/>
      <c r="D3536" s="9"/>
      <c r="E3536" s="9"/>
      <c r="F3536" s="9"/>
      <c r="G3536" s="10"/>
      <c r="H3536" s="9"/>
      <c r="I3536" s="15"/>
      <c r="J3536" s="9"/>
      <c r="K3536" s="9"/>
      <c r="L3536" s="9"/>
      <c r="M3536" s="9"/>
      <c r="N3536" s="9"/>
      <c r="O3536" s="9"/>
      <c r="P3536" s="9"/>
      <c r="Q3536" s="9"/>
      <c r="R3536" s="9"/>
      <c r="S3536" s="9"/>
      <c r="T3536" s="9"/>
      <c r="U3536" s="9"/>
      <c r="V3536" s="9"/>
      <c r="W3536" s="9"/>
      <c r="X3536" s="9"/>
      <c r="Y3536" s="9"/>
      <c r="Z3536" s="9"/>
      <c r="AA3536" s="9"/>
    </row>
    <row r="3537">
      <c r="A3537" s="9"/>
      <c r="B3537" s="9"/>
      <c r="C3537" s="9"/>
      <c r="D3537" s="9"/>
      <c r="E3537" s="9"/>
      <c r="F3537" s="9"/>
      <c r="G3537" s="10"/>
      <c r="H3537" s="9"/>
      <c r="I3537" s="15"/>
      <c r="J3537" s="9"/>
      <c r="K3537" s="9"/>
      <c r="L3537" s="9"/>
      <c r="M3537" s="9"/>
      <c r="N3537" s="9"/>
      <c r="O3537" s="9"/>
      <c r="P3537" s="9"/>
      <c r="Q3537" s="9"/>
      <c r="R3537" s="9"/>
      <c r="S3537" s="9"/>
      <c r="T3537" s="9"/>
      <c r="U3537" s="9"/>
      <c r="V3537" s="9"/>
      <c r="W3537" s="9"/>
      <c r="X3537" s="9"/>
      <c r="Y3537" s="9"/>
      <c r="Z3537" s="9"/>
      <c r="AA3537" s="9"/>
    </row>
    <row r="3538">
      <c r="A3538" s="9"/>
      <c r="B3538" s="9"/>
      <c r="C3538" s="9"/>
      <c r="D3538" s="9"/>
      <c r="E3538" s="9"/>
      <c r="F3538" s="9"/>
      <c r="G3538" s="10"/>
      <c r="H3538" s="9"/>
      <c r="I3538" s="15"/>
      <c r="J3538" s="9"/>
      <c r="K3538" s="9"/>
      <c r="L3538" s="9"/>
      <c r="M3538" s="9"/>
      <c r="N3538" s="9"/>
      <c r="O3538" s="9"/>
      <c r="P3538" s="9"/>
      <c r="Q3538" s="9"/>
      <c r="R3538" s="9"/>
      <c r="S3538" s="9"/>
      <c r="T3538" s="9"/>
      <c r="U3538" s="9"/>
      <c r="V3538" s="9"/>
      <c r="W3538" s="9"/>
      <c r="X3538" s="9"/>
      <c r="Y3538" s="9"/>
      <c r="Z3538" s="9"/>
      <c r="AA3538" s="9"/>
    </row>
    <row r="3539">
      <c r="A3539" s="9"/>
      <c r="B3539" s="9"/>
      <c r="C3539" s="9"/>
      <c r="D3539" s="9"/>
      <c r="E3539" s="9"/>
      <c r="F3539" s="9"/>
      <c r="G3539" s="10"/>
      <c r="H3539" s="9"/>
      <c r="I3539" s="15"/>
      <c r="J3539" s="9"/>
      <c r="K3539" s="9"/>
      <c r="L3539" s="9"/>
      <c r="M3539" s="9"/>
      <c r="N3539" s="9"/>
      <c r="O3539" s="9"/>
      <c r="P3539" s="9"/>
      <c r="Q3539" s="9"/>
      <c r="R3539" s="9"/>
      <c r="S3539" s="9"/>
      <c r="T3539" s="9"/>
      <c r="U3539" s="9"/>
      <c r="V3539" s="9"/>
      <c r="W3539" s="9"/>
      <c r="X3539" s="9"/>
      <c r="Y3539" s="9"/>
      <c r="Z3539" s="9"/>
      <c r="AA3539" s="9"/>
    </row>
    <row r="3540">
      <c r="A3540" s="9"/>
      <c r="B3540" s="9"/>
      <c r="C3540" s="9"/>
      <c r="D3540" s="9"/>
      <c r="E3540" s="9"/>
      <c r="F3540" s="9"/>
      <c r="G3540" s="10"/>
      <c r="H3540" s="9"/>
      <c r="I3540" s="15"/>
      <c r="J3540" s="9"/>
      <c r="K3540" s="9"/>
      <c r="L3540" s="9"/>
      <c r="M3540" s="9"/>
      <c r="N3540" s="9"/>
      <c r="O3540" s="9"/>
      <c r="P3540" s="9"/>
      <c r="Q3540" s="9"/>
      <c r="R3540" s="9"/>
      <c r="S3540" s="9"/>
      <c r="T3540" s="9"/>
      <c r="U3540" s="9"/>
      <c r="V3540" s="9"/>
      <c r="W3540" s="9"/>
      <c r="X3540" s="9"/>
      <c r="Y3540" s="9"/>
      <c r="Z3540" s="9"/>
      <c r="AA3540" s="9"/>
    </row>
    <row r="3541">
      <c r="A3541" s="9"/>
      <c r="B3541" s="9"/>
      <c r="C3541" s="9"/>
      <c r="D3541" s="9"/>
      <c r="E3541" s="9"/>
      <c r="F3541" s="9"/>
      <c r="G3541" s="10"/>
      <c r="H3541" s="9"/>
      <c r="I3541" s="15"/>
      <c r="J3541" s="9"/>
      <c r="K3541" s="9"/>
      <c r="L3541" s="9"/>
      <c r="M3541" s="9"/>
      <c r="N3541" s="9"/>
      <c r="O3541" s="9"/>
      <c r="P3541" s="9"/>
      <c r="Q3541" s="9"/>
      <c r="R3541" s="9"/>
      <c r="S3541" s="9"/>
      <c r="T3541" s="9"/>
      <c r="U3541" s="9"/>
      <c r="V3541" s="9"/>
      <c r="W3541" s="9"/>
      <c r="X3541" s="9"/>
      <c r="Y3541" s="9"/>
      <c r="Z3541" s="9"/>
      <c r="AA3541" s="9"/>
    </row>
    <row r="3542">
      <c r="A3542" s="9"/>
      <c r="B3542" s="9"/>
      <c r="C3542" s="9"/>
      <c r="D3542" s="9"/>
      <c r="E3542" s="9"/>
      <c r="F3542" s="9"/>
      <c r="G3542" s="10"/>
      <c r="H3542" s="9"/>
      <c r="I3542" s="15"/>
      <c r="J3542" s="9"/>
      <c r="K3542" s="9"/>
      <c r="L3542" s="9"/>
      <c r="M3542" s="9"/>
      <c r="N3542" s="9"/>
      <c r="O3542" s="9"/>
      <c r="P3542" s="9"/>
      <c r="Q3542" s="9"/>
      <c r="R3542" s="9"/>
      <c r="S3542" s="9"/>
      <c r="T3542" s="9"/>
      <c r="U3542" s="9"/>
      <c r="V3542" s="9"/>
      <c r="W3542" s="9"/>
      <c r="X3542" s="9"/>
      <c r="Y3542" s="9"/>
      <c r="Z3542" s="9"/>
      <c r="AA3542" s="9"/>
    </row>
    <row r="3543">
      <c r="A3543" s="9"/>
      <c r="B3543" s="9"/>
      <c r="C3543" s="9"/>
      <c r="D3543" s="9"/>
      <c r="E3543" s="9"/>
      <c r="F3543" s="9"/>
      <c r="G3543" s="10"/>
      <c r="H3543" s="9"/>
      <c r="I3543" s="15"/>
      <c r="J3543" s="9"/>
      <c r="K3543" s="9"/>
      <c r="L3543" s="9"/>
      <c r="M3543" s="9"/>
      <c r="N3543" s="9"/>
      <c r="O3543" s="9"/>
      <c r="P3543" s="9"/>
      <c r="Q3543" s="9"/>
      <c r="R3543" s="9"/>
      <c r="S3543" s="9"/>
      <c r="T3543" s="9"/>
      <c r="U3543" s="9"/>
      <c r="V3543" s="9"/>
      <c r="W3543" s="9"/>
      <c r="X3543" s="9"/>
      <c r="Y3543" s="9"/>
      <c r="Z3543" s="9"/>
      <c r="AA3543" s="9"/>
    </row>
    <row r="3544">
      <c r="A3544" s="9"/>
      <c r="B3544" s="9"/>
      <c r="C3544" s="9"/>
      <c r="D3544" s="9"/>
      <c r="E3544" s="9"/>
      <c r="F3544" s="9"/>
      <c r="G3544" s="10"/>
      <c r="H3544" s="9"/>
      <c r="I3544" s="15"/>
      <c r="J3544" s="9"/>
      <c r="K3544" s="9"/>
      <c r="L3544" s="9"/>
      <c r="M3544" s="9"/>
      <c r="N3544" s="9"/>
      <c r="O3544" s="9"/>
      <c r="P3544" s="9"/>
      <c r="Q3544" s="9"/>
      <c r="R3544" s="9"/>
      <c r="S3544" s="9"/>
      <c r="T3544" s="9"/>
      <c r="U3544" s="9"/>
      <c r="V3544" s="9"/>
      <c r="W3544" s="9"/>
      <c r="X3544" s="9"/>
      <c r="Y3544" s="9"/>
      <c r="Z3544" s="9"/>
      <c r="AA3544" s="9"/>
    </row>
    <row r="3545">
      <c r="A3545" s="9"/>
      <c r="B3545" s="9"/>
      <c r="C3545" s="9"/>
      <c r="D3545" s="9"/>
      <c r="E3545" s="9"/>
      <c r="F3545" s="9"/>
      <c r="G3545" s="10"/>
      <c r="H3545" s="9"/>
      <c r="I3545" s="15"/>
      <c r="J3545" s="9"/>
      <c r="K3545" s="9"/>
      <c r="L3545" s="9"/>
      <c r="M3545" s="9"/>
      <c r="N3545" s="9"/>
      <c r="O3545" s="9"/>
      <c r="P3545" s="9"/>
      <c r="Q3545" s="9"/>
      <c r="R3545" s="9"/>
      <c r="S3545" s="9"/>
      <c r="T3545" s="9"/>
      <c r="U3545" s="9"/>
      <c r="V3545" s="9"/>
      <c r="W3545" s="9"/>
      <c r="X3545" s="9"/>
      <c r="Y3545" s="9"/>
      <c r="Z3545" s="9"/>
      <c r="AA3545" s="9"/>
    </row>
    <row r="3546">
      <c r="A3546" s="9"/>
      <c r="B3546" s="9"/>
      <c r="C3546" s="9"/>
      <c r="D3546" s="9"/>
      <c r="E3546" s="9"/>
      <c r="F3546" s="9"/>
      <c r="G3546" s="10"/>
      <c r="H3546" s="9"/>
      <c r="I3546" s="15"/>
      <c r="J3546" s="9"/>
      <c r="K3546" s="9"/>
      <c r="L3546" s="9"/>
      <c r="M3546" s="9"/>
      <c r="N3546" s="9"/>
      <c r="O3546" s="9"/>
      <c r="P3546" s="9"/>
      <c r="Q3546" s="9"/>
      <c r="R3546" s="9"/>
      <c r="S3546" s="9"/>
      <c r="T3546" s="9"/>
      <c r="U3546" s="9"/>
      <c r="V3546" s="9"/>
      <c r="W3546" s="9"/>
      <c r="X3546" s="9"/>
      <c r="Y3546" s="9"/>
      <c r="Z3546" s="9"/>
      <c r="AA3546" s="9"/>
    </row>
    <row r="3547">
      <c r="A3547" s="9"/>
      <c r="B3547" s="9"/>
      <c r="C3547" s="9"/>
      <c r="D3547" s="9"/>
      <c r="E3547" s="9"/>
      <c r="F3547" s="9"/>
      <c r="G3547" s="10"/>
      <c r="H3547" s="9"/>
      <c r="I3547" s="15"/>
      <c r="J3547" s="9"/>
      <c r="K3547" s="9"/>
      <c r="L3547" s="9"/>
      <c r="M3547" s="9"/>
      <c r="N3547" s="9"/>
      <c r="O3547" s="9"/>
      <c r="P3547" s="9"/>
      <c r="Q3547" s="9"/>
      <c r="R3547" s="9"/>
      <c r="S3547" s="9"/>
      <c r="T3547" s="9"/>
      <c r="U3547" s="9"/>
      <c r="V3547" s="9"/>
      <c r="W3547" s="9"/>
      <c r="X3547" s="9"/>
      <c r="Y3547" s="9"/>
      <c r="Z3547" s="9"/>
      <c r="AA3547" s="9"/>
    </row>
    <row r="3548">
      <c r="A3548" s="9"/>
      <c r="B3548" s="9"/>
      <c r="C3548" s="9"/>
      <c r="D3548" s="9"/>
      <c r="E3548" s="9"/>
      <c r="F3548" s="9"/>
      <c r="G3548" s="10"/>
      <c r="H3548" s="9"/>
      <c r="I3548" s="15"/>
      <c r="J3548" s="9"/>
      <c r="K3548" s="9"/>
      <c r="L3548" s="9"/>
      <c r="M3548" s="9"/>
      <c r="N3548" s="9"/>
      <c r="O3548" s="9"/>
      <c r="P3548" s="9"/>
      <c r="Q3548" s="9"/>
      <c r="R3548" s="9"/>
      <c r="S3548" s="9"/>
      <c r="T3548" s="9"/>
      <c r="U3548" s="9"/>
      <c r="V3548" s="9"/>
      <c r="W3548" s="9"/>
      <c r="X3548" s="9"/>
      <c r="Y3548" s="9"/>
      <c r="Z3548" s="9"/>
      <c r="AA3548" s="9"/>
    </row>
    <row r="3549">
      <c r="A3549" s="9"/>
      <c r="B3549" s="9"/>
      <c r="C3549" s="9"/>
      <c r="D3549" s="9"/>
      <c r="E3549" s="9"/>
      <c r="F3549" s="9"/>
      <c r="G3549" s="10"/>
      <c r="H3549" s="9"/>
      <c r="I3549" s="15"/>
      <c r="J3549" s="9"/>
      <c r="K3549" s="9"/>
      <c r="L3549" s="9"/>
      <c r="M3549" s="9"/>
      <c r="N3549" s="9"/>
      <c r="O3549" s="9"/>
      <c r="P3549" s="9"/>
      <c r="Q3549" s="9"/>
      <c r="R3549" s="9"/>
      <c r="S3549" s="9"/>
      <c r="T3549" s="9"/>
      <c r="U3549" s="9"/>
      <c r="V3549" s="9"/>
      <c r="W3549" s="9"/>
      <c r="X3549" s="9"/>
      <c r="Y3549" s="9"/>
      <c r="Z3549" s="9"/>
      <c r="AA3549" s="9"/>
    </row>
    <row r="3550">
      <c r="A3550" s="9"/>
      <c r="B3550" s="9"/>
      <c r="C3550" s="9"/>
      <c r="D3550" s="9"/>
      <c r="E3550" s="9"/>
      <c r="F3550" s="9"/>
      <c r="G3550" s="10"/>
      <c r="H3550" s="9"/>
      <c r="I3550" s="15"/>
      <c r="J3550" s="9"/>
      <c r="K3550" s="9"/>
      <c r="L3550" s="9"/>
      <c r="M3550" s="9"/>
      <c r="N3550" s="9"/>
      <c r="O3550" s="9"/>
      <c r="P3550" s="9"/>
      <c r="Q3550" s="9"/>
      <c r="R3550" s="9"/>
      <c r="S3550" s="9"/>
      <c r="T3550" s="9"/>
      <c r="U3550" s="9"/>
      <c r="V3550" s="9"/>
      <c r="W3550" s="9"/>
      <c r="X3550" s="9"/>
      <c r="Y3550" s="9"/>
      <c r="Z3550" s="9"/>
      <c r="AA3550" s="9"/>
    </row>
    <row r="3551">
      <c r="A3551" s="9"/>
      <c r="B3551" s="9"/>
      <c r="C3551" s="9"/>
      <c r="D3551" s="9"/>
      <c r="E3551" s="9"/>
      <c r="F3551" s="9"/>
      <c r="G3551" s="10"/>
      <c r="H3551" s="9"/>
      <c r="I3551" s="15"/>
      <c r="J3551" s="9"/>
      <c r="K3551" s="9"/>
      <c r="L3551" s="9"/>
      <c r="M3551" s="9"/>
      <c r="N3551" s="9"/>
      <c r="O3551" s="9"/>
      <c r="P3551" s="9"/>
      <c r="Q3551" s="9"/>
      <c r="R3551" s="9"/>
      <c r="S3551" s="9"/>
      <c r="T3551" s="9"/>
      <c r="U3551" s="9"/>
      <c r="V3551" s="9"/>
      <c r="W3551" s="9"/>
      <c r="X3551" s="9"/>
      <c r="Y3551" s="9"/>
      <c r="Z3551" s="9"/>
      <c r="AA3551" s="9"/>
    </row>
    <row r="3552">
      <c r="A3552" s="9"/>
      <c r="B3552" s="9"/>
      <c r="C3552" s="9"/>
      <c r="D3552" s="9"/>
      <c r="E3552" s="9"/>
      <c r="F3552" s="9"/>
      <c r="G3552" s="10"/>
      <c r="H3552" s="9"/>
      <c r="I3552" s="15"/>
      <c r="J3552" s="9"/>
      <c r="K3552" s="9"/>
      <c r="L3552" s="9"/>
      <c r="M3552" s="9"/>
      <c r="N3552" s="9"/>
      <c r="O3552" s="9"/>
      <c r="P3552" s="9"/>
      <c r="Q3552" s="9"/>
      <c r="R3552" s="9"/>
      <c r="S3552" s="9"/>
      <c r="T3552" s="9"/>
      <c r="U3552" s="9"/>
      <c r="V3552" s="9"/>
      <c r="W3552" s="9"/>
      <c r="X3552" s="9"/>
      <c r="Y3552" s="9"/>
      <c r="Z3552" s="9"/>
      <c r="AA3552" s="9"/>
    </row>
    <row r="3553">
      <c r="A3553" s="9"/>
      <c r="B3553" s="9"/>
      <c r="C3553" s="9"/>
      <c r="D3553" s="9"/>
      <c r="E3553" s="9"/>
      <c r="F3553" s="9"/>
      <c r="G3553" s="10"/>
      <c r="H3553" s="9"/>
      <c r="I3553" s="15"/>
      <c r="J3553" s="9"/>
      <c r="K3553" s="9"/>
      <c r="L3553" s="9"/>
      <c r="M3553" s="9"/>
      <c r="N3553" s="9"/>
      <c r="O3553" s="9"/>
      <c r="P3553" s="9"/>
      <c r="Q3553" s="9"/>
      <c r="R3553" s="9"/>
      <c r="S3553" s="9"/>
      <c r="T3553" s="9"/>
      <c r="U3553" s="9"/>
      <c r="V3553" s="9"/>
      <c r="W3553" s="9"/>
      <c r="X3553" s="9"/>
      <c r="Y3553" s="9"/>
      <c r="Z3553" s="9"/>
      <c r="AA3553" s="9"/>
    </row>
    <row r="3554">
      <c r="A3554" s="9"/>
      <c r="B3554" s="9"/>
      <c r="C3554" s="9"/>
      <c r="D3554" s="9"/>
      <c r="E3554" s="9"/>
      <c r="F3554" s="9"/>
      <c r="G3554" s="10"/>
      <c r="H3554" s="9"/>
      <c r="I3554" s="15"/>
      <c r="J3554" s="9"/>
      <c r="K3554" s="9"/>
      <c r="L3554" s="9"/>
      <c r="M3554" s="9"/>
      <c r="N3554" s="9"/>
      <c r="O3554" s="9"/>
      <c r="P3554" s="9"/>
      <c r="Q3554" s="9"/>
      <c r="R3554" s="9"/>
      <c r="S3554" s="9"/>
      <c r="T3554" s="9"/>
      <c r="U3554" s="9"/>
      <c r="V3554" s="9"/>
      <c r="W3554" s="9"/>
      <c r="X3554" s="9"/>
      <c r="Y3554" s="9"/>
      <c r="Z3554" s="9"/>
      <c r="AA3554" s="9"/>
    </row>
    <row r="3555">
      <c r="A3555" s="9"/>
      <c r="B3555" s="9"/>
      <c r="C3555" s="9"/>
      <c r="D3555" s="9"/>
      <c r="E3555" s="9"/>
      <c r="F3555" s="9"/>
      <c r="G3555" s="10"/>
      <c r="H3555" s="9"/>
      <c r="I3555" s="15"/>
      <c r="J3555" s="9"/>
      <c r="K3555" s="9"/>
      <c r="L3555" s="9"/>
      <c r="M3555" s="9"/>
      <c r="N3555" s="9"/>
      <c r="O3555" s="9"/>
      <c r="P3555" s="9"/>
      <c r="Q3555" s="9"/>
      <c r="R3555" s="9"/>
      <c r="S3555" s="9"/>
      <c r="T3555" s="9"/>
      <c r="U3555" s="9"/>
      <c r="V3555" s="9"/>
      <c r="W3555" s="9"/>
      <c r="X3555" s="9"/>
      <c r="Y3555" s="9"/>
      <c r="Z3555" s="9"/>
      <c r="AA3555" s="9"/>
    </row>
    <row r="3556">
      <c r="A3556" s="9"/>
      <c r="B3556" s="9"/>
      <c r="C3556" s="9"/>
      <c r="D3556" s="9"/>
      <c r="E3556" s="9"/>
      <c r="F3556" s="9"/>
      <c r="G3556" s="10"/>
      <c r="H3556" s="9"/>
      <c r="I3556" s="15"/>
      <c r="J3556" s="9"/>
      <c r="K3556" s="9"/>
      <c r="L3556" s="9"/>
      <c r="M3556" s="9"/>
      <c r="N3556" s="9"/>
      <c r="O3556" s="9"/>
      <c r="P3556" s="9"/>
      <c r="Q3556" s="9"/>
      <c r="R3556" s="9"/>
      <c r="S3556" s="9"/>
      <c r="T3556" s="9"/>
      <c r="U3556" s="9"/>
      <c r="V3556" s="9"/>
      <c r="W3556" s="9"/>
      <c r="X3556" s="9"/>
      <c r="Y3556" s="9"/>
      <c r="Z3556" s="9"/>
      <c r="AA3556" s="9"/>
    </row>
    <row r="3557">
      <c r="A3557" s="9"/>
      <c r="B3557" s="9"/>
      <c r="C3557" s="9"/>
      <c r="D3557" s="9"/>
      <c r="E3557" s="9"/>
      <c r="F3557" s="9"/>
      <c r="G3557" s="10"/>
      <c r="H3557" s="9"/>
      <c r="I3557" s="15"/>
      <c r="J3557" s="9"/>
      <c r="K3557" s="9"/>
      <c r="L3557" s="9"/>
      <c r="M3557" s="9"/>
      <c r="N3557" s="9"/>
      <c r="O3557" s="9"/>
      <c r="P3557" s="9"/>
      <c r="Q3557" s="9"/>
      <c r="R3557" s="9"/>
      <c r="S3557" s="9"/>
      <c r="T3557" s="9"/>
      <c r="U3557" s="9"/>
      <c r="V3557" s="9"/>
      <c r="W3557" s="9"/>
      <c r="X3557" s="9"/>
      <c r="Y3557" s="9"/>
      <c r="Z3557" s="9"/>
      <c r="AA3557" s="9"/>
    </row>
    <row r="3558">
      <c r="A3558" s="9"/>
      <c r="B3558" s="9"/>
      <c r="C3558" s="9"/>
      <c r="D3558" s="9"/>
      <c r="E3558" s="9"/>
      <c r="F3558" s="9"/>
      <c r="G3558" s="10"/>
      <c r="H3558" s="9"/>
      <c r="I3558" s="15"/>
      <c r="J3558" s="9"/>
      <c r="K3558" s="9"/>
      <c r="L3558" s="9"/>
      <c r="M3558" s="9"/>
      <c r="N3558" s="9"/>
      <c r="O3558" s="9"/>
      <c r="P3558" s="9"/>
      <c r="Q3558" s="9"/>
      <c r="R3558" s="9"/>
      <c r="S3558" s="9"/>
      <c r="T3558" s="9"/>
      <c r="U3558" s="9"/>
      <c r="V3558" s="9"/>
      <c r="W3558" s="9"/>
      <c r="X3558" s="9"/>
      <c r="Y3558" s="9"/>
      <c r="Z3558" s="9"/>
      <c r="AA3558" s="9"/>
    </row>
    <row r="3559">
      <c r="A3559" s="9"/>
      <c r="B3559" s="9"/>
      <c r="C3559" s="9"/>
      <c r="D3559" s="9"/>
      <c r="E3559" s="9"/>
      <c r="F3559" s="9"/>
      <c r="G3559" s="10"/>
      <c r="H3559" s="9"/>
      <c r="I3559" s="15"/>
      <c r="J3559" s="9"/>
      <c r="K3559" s="9"/>
      <c r="L3559" s="9"/>
      <c r="M3559" s="9"/>
      <c r="N3559" s="9"/>
      <c r="O3559" s="9"/>
      <c r="P3559" s="9"/>
      <c r="Q3559" s="9"/>
      <c r="R3559" s="9"/>
      <c r="S3559" s="9"/>
      <c r="T3559" s="9"/>
      <c r="U3559" s="9"/>
      <c r="V3559" s="9"/>
      <c r="W3559" s="9"/>
      <c r="X3559" s="9"/>
      <c r="Y3559" s="9"/>
      <c r="Z3559" s="9"/>
      <c r="AA3559" s="9"/>
    </row>
    <row r="3560">
      <c r="A3560" s="9"/>
      <c r="B3560" s="9"/>
      <c r="C3560" s="9"/>
      <c r="D3560" s="9"/>
      <c r="E3560" s="9"/>
      <c r="F3560" s="9"/>
      <c r="G3560" s="10"/>
      <c r="H3560" s="9"/>
      <c r="I3560" s="15"/>
      <c r="J3560" s="9"/>
      <c r="K3560" s="9"/>
      <c r="L3560" s="9"/>
      <c r="M3560" s="9"/>
      <c r="N3560" s="9"/>
      <c r="O3560" s="9"/>
      <c r="P3560" s="9"/>
      <c r="Q3560" s="9"/>
      <c r="R3560" s="9"/>
      <c r="S3560" s="9"/>
      <c r="T3560" s="9"/>
      <c r="U3560" s="9"/>
      <c r="V3560" s="9"/>
      <c r="W3560" s="9"/>
      <c r="X3560" s="9"/>
      <c r="Y3560" s="9"/>
      <c r="Z3560" s="9"/>
      <c r="AA3560" s="9"/>
    </row>
    <row r="3561">
      <c r="A3561" s="9"/>
      <c r="B3561" s="9"/>
      <c r="C3561" s="9"/>
      <c r="D3561" s="9"/>
      <c r="E3561" s="9"/>
      <c r="F3561" s="9"/>
      <c r="G3561" s="10"/>
      <c r="H3561" s="9"/>
      <c r="I3561" s="15"/>
      <c r="J3561" s="9"/>
      <c r="K3561" s="9"/>
      <c r="L3561" s="9"/>
      <c r="M3561" s="9"/>
      <c r="N3561" s="9"/>
      <c r="O3561" s="9"/>
      <c r="P3561" s="9"/>
      <c r="Q3561" s="9"/>
      <c r="R3561" s="9"/>
      <c r="S3561" s="9"/>
      <c r="T3561" s="9"/>
      <c r="U3561" s="9"/>
      <c r="V3561" s="9"/>
      <c r="W3561" s="9"/>
      <c r="X3561" s="9"/>
      <c r="Y3561" s="9"/>
      <c r="Z3561" s="9"/>
      <c r="AA3561" s="9"/>
    </row>
    <row r="3562">
      <c r="A3562" s="9"/>
      <c r="B3562" s="9"/>
      <c r="C3562" s="9"/>
      <c r="D3562" s="9"/>
      <c r="E3562" s="9"/>
      <c r="F3562" s="9"/>
      <c r="G3562" s="10"/>
      <c r="H3562" s="9"/>
      <c r="I3562" s="15"/>
      <c r="J3562" s="9"/>
      <c r="K3562" s="9"/>
      <c r="L3562" s="9"/>
      <c r="M3562" s="9"/>
      <c r="N3562" s="9"/>
      <c r="O3562" s="9"/>
      <c r="P3562" s="9"/>
      <c r="Q3562" s="9"/>
      <c r="R3562" s="9"/>
      <c r="S3562" s="9"/>
      <c r="T3562" s="9"/>
      <c r="U3562" s="9"/>
      <c r="V3562" s="9"/>
      <c r="W3562" s="9"/>
      <c r="X3562" s="9"/>
      <c r="Y3562" s="9"/>
      <c r="Z3562" s="9"/>
      <c r="AA3562" s="9"/>
    </row>
    <row r="3563">
      <c r="A3563" s="9"/>
      <c r="B3563" s="9"/>
      <c r="C3563" s="9"/>
      <c r="D3563" s="9"/>
      <c r="E3563" s="9"/>
      <c r="F3563" s="9"/>
      <c r="G3563" s="10"/>
      <c r="H3563" s="9"/>
      <c r="I3563" s="15"/>
      <c r="J3563" s="9"/>
      <c r="K3563" s="9"/>
      <c r="L3563" s="9"/>
      <c r="M3563" s="9"/>
      <c r="N3563" s="9"/>
      <c r="O3563" s="9"/>
      <c r="P3563" s="9"/>
      <c r="Q3563" s="9"/>
      <c r="R3563" s="9"/>
      <c r="S3563" s="9"/>
      <c r="T3563" s="9"/>
      <c r="U3563" s="9"/>
      <c r="V3563" s="9"/>
      <c r="W3563" s="9"/>
      <c r="X3563" s="9"/>
      <c r="Y3563" s="9"/>
      <c r="Z3563" s="9"/>
      <c r="AA3563" s="9"/>
    </row>
    <row r="3564">
      <c r="A3564" s="9"/>
      <c r="B3564" s="9"/>
      <c r="C3564" s="9"/>
      <c r="D3564" s="9"/>
      <c r="E3564" s="9"/>
      <c r="F3564" s="9"/>
      <c r="G3564" s="10"/>
      <c r="H3564" s="9"/>
      <c r="I3564" s="15"/>
      <c r="J3564" s="9"/>
      <c r="K3564" s="9"/>
      <c r="L3564" s="9"/>
      <c r="M3564" s="9"/>
      <c r="N3564" s="9"/>
      <c r="O3564" s="9"/>
      <c r="P3564" s="9"/>
      <c r="Q3564" s="9"/>
      <c r="R3564" s="9"/>
      <c r="S3564" s="9"/>
      <c r="T3564" s="9"/>
      <c r="U3564" s="9"/>
      <c r="V3564" s="9"/>
      <c r="W3564" s="9"/>
      <c r="X3564" s="9"/>
      <c r="Y3564" s="9"/>
      <c r="Z3564" s="9"/>
      <c r="AA3564" s="9"/>
    </row>
    <row r="3565">
      <c r="A3565" s="9"/>
      <c r="B3565" s="9"/>
      <c r="C3565" s="9"/>
      <c r="D3565" s="9"/>
      <c r="E3565" s="9"/>
      <c r="F3565" s="9"/>
      <c r="G3565" s="10"/>
      <c r="H3565" s="9"/>
      <c r="I3565" s="15"/>
      <c r="J3565" s="9"/>
      <c r="K3565" s="9"/>
      <c r="L3565" s="9"/>
      <c r="M3565" s="9"/>
      <c r="N3565" s="9"/>
      <c r="O3565" s="9"/>
      <c r="P3565" s="9"/>
      <c r="Q3565" s="9"/>
      <c r="R3565" s="9"/>
      <c r="S3565" s="9"/>
      <c r="T3565" s="9"/>
      <c r="U3565" s="9"/>
      <c r="V3565" s="9"/>
      <c r="W3565" s="9"/>
      <c r="X3565" s="9"/>
      <c r="Y3565" s="9"/>
      <c r="Z3565" s="9"/>
      <c r="AA3565" s="9"/>
    </row>
    <row r="3566">
      <c r="A3566" s="9"/>
      <c r="B3566" s="9"/>
      <c r="C3566" s="9"/>
      <c r="D3566" s="9"/>
      <c r="E3566" s="9"/>
      <c r="F3566" s="9"/>
      <c r="G3566" s="10"/>
      <c r="H3566" s="9"/>
      <c r="I3566" s="15"/>
      <c r="J3566" s="9"/>
      <c r="K3566" s="9"/>
      <c r="L3566" s="9"/>
      <c r="M3566" s="9"/>
      <c r="N3566" s="9"/>
      <c r="O3566" s="9"/>
      <c r="P3566" s="9"/>
      <c r="Q3566" s="9"/>
      <c r="R3566" s="9"/>
      <c r="S3566" s="9"/>
      <c r="T3566" s="9"/>
      <c r="U3566" s="9"/>
      <c r="V3566" s="9"/>
      <c r="W3566" s="9"/>
      <c r="X3566" s="9"/>
      <c r="Y3566" s="9"/>
      <c r="Z3566" s="9"/>
      <c r="AA3566" s="9"/>
    </row>
    <row r="3567">
      <c r="A3567" s="9"/>
      <c r="B3567" s="9"/>
      <c r="C3567" s="9"/>
      <c r="D3567" s="9"/>
      <c r="E3567" s="9"/>
      <c r="F3567" s="9"/>
      <c r="G3567" s="10"/>
      <c r="H3567" s="9"/>
      <c r="I3567" s="15"/>
      <c r="J3567" s="9"/>
      <c r="K3567" s="9"/>
      <c r="L3567" s="9"/>
      <c r="M3567" s="9"/>
      <c r="N3567" s="9"/>
      <c r="O3567" s="9"/>
      <c r="P3567" s="9"/>
      <c r="Q3567" s="9"/>
      <c r="R3567" s="9"/>
      <c r="S3567" s="9"/>
      <c r="T3567" s="9"/>
      <c r="U3567" s="9"/>
      <c r="V3567" s="9"/>
      <c r="W3567" s="9"/>
      <c r="X3567" s="9"/>
      <c r="Y3567" s="9"/>
      <c r="Z3567" s="9"/>
      <c r="AA3567" s="9"/>
    </row>
    <row r="3568">
      <c r="A3568" s="9"/>
      <c r="B3568" s="9"/>
      <c r="C3568" s="9"/>
      <c r="D3568" s="9"/>
      <c r="E3568" s="9"/>
      <c r="F3568" s="9"/>
      <c r="G3568" s="10"/>
      <c r="H3568" s="9"/>
      <c r="I3568" s="15"/>
      <c r="J3568" s="9"/>
      <c r="K3568" s="9"/>
      <c r="L3568" s="9"/>
      <c r="M3568" s="9"/>
      <c r="N3568" s="9"/>
      <c r="O3568" s="9"/>
      <c r="P3568" s="9"/>
      <c r="Q3568" s="9"/>
      <c r="R3568" s="9"/>
      <c r="S3568" s="9"/>
      <c r="T3568" s="9"/>
      <c r="U3568" s="9"/>
      <c r="V3568" s="9"/>
      <c r="W3568" s="9"/>
      <c r="X3568" s="9"/>
      <c r="Y3568" s="9"/>
      <c r="Z3568" s="9"/>
      <c r="AA3568" s="9"/>
    </row>
    <row r="3569">
      <c r="A3569" s="9"/>
      <c r="B3569" s="9"/>
      <c r="C3569" s="9"/>
      <c r="D3569" s="9"/>
      <c r="E3569" s="9"/>
      <c r="F3569" s="9"/>
      <c r="G3569" s="10"/>
      <c r="H3569" s="9"/>
      <c r="I3569" s="15"/>
      <c r="J3569" s="9"/>
      <c r="K3569" s="9"/>
      <c r="L3569" s="9"/>
      <c r="M3569" s="9"/>
      <c r="N3569" s="9"/>
      <c r="O3569" s="9"/>
      <c r="P3569" s="9"/>
      <c r="Q3569" s="9"/>
      <c r="R3569" s="9"/>
      <c r="S3569" s="9"/>
      <c r="T3569" s="9"/>
      <c r="U3569" s="9"/>
      <c r="V3569" s="9"/>
      <c r="W3569" s="9"/>
      <c r="X3569" s="9"/>
      <c r="Y3569" s="9"/>
      <c r="Z3569" s="9"/>
      <c r="AA3569" s="9"/>
    </row>
    <row r="3570">
      <c r="A3570" s="9"/>
      <c r="B3570" s="9"/>
      <c r="C3570" s="9"/>
      <c r="D3570" s="9"/>
      <c r="E3570" s="9"/>
      <c r="F3570" s="9"/>
      <c r="G3570" s="10"/>
      <c r="H3570" s="9"/>
      <c r="I3570" s="15"/>
      <c r="J3570" s="9"/>
      <c r="K3570" s="9"/>
      <c r="L3570" s="9"/>
      <c r="M3570" s="9"/>
      <c r="N3570" s="9"/>
      <c r="O3570" s="9"/>
      <c r="P3570" s="9"/>
      <c r="Q3570" s="9"/>
      <c r="R3570" s="9"/>
      <c r="S3570" s="9"/>
      <c r="T3570" s="9"/>
      <c r="U3570" s="9"/>
      <c r="V3570" s="9"/>
      <c r="W3570" s="9"/>
      <c r="X3570" s="9"/>
      <c r="Y3570" s="9"/>
      <c r="Z3570" s="9"/>
      <c r="AA3570" s="9"/>
    </row>
    <row r="3571">
      <c r="A3571" s="9"/>
      <c r="B3571" s="9"/>
      <c r="C3571" s="9"/>
      <c r="D3571" s="9"/>
      <c r="E3571" s="9"/>
      <c r="F3571" s="9"/>
      <c r="G3571" s="10"/>
      <c r="H3571" s="9"/>
      <c r="I3571" s="15"/>
      <c r="J3571" s="9"/>
      <c r="K3571" s="9"/>
      <c r="L3571" s="9"/>
      <c r="M3571" s="9"/>
      <c r="N3571" s="9"/>
      <c r="O3571" s="9"/>
      <c r="P3571" s="9"/>
      <c r="Q3571" s="9"/>
      <c r="R3571" s="9"/>
      <c r="S3571" s="9"/>
      <c r="T3571" s="9"/>
      <c r="U3571" s="9"/>
      <c r="V3571" s="9"/>
      <c r="W3571" s="9"/>
      <c r="X3571" s="9"/>
      <c r="Y3571" s="9"/>
      <c r="Z3571" s="9"/>
      <c r="AA3571" s="9"/>
    </row>
    <row r="3572">
      <c r="A3572" s="9"/>
      <c r="B3572" s="9"/>
      <c r="C3572" s="9"/>
      <c r="D3572" s="9"/>
      <c r="E3572" s="9"/>
      <c r="F3572" s="9"/>
      <c r="G3572" s="10"/>
      <c r="H3572" s="9"/>
      <c r="I3572" s="15"/>
      <c r="J3572" s="9"/>
      <c r="K3572" s="9"/>
      <c r="L3572" s="9"/>
      <c r="M3572" s="9"/>
      <c r="N3572" s="9"/>
      <c r="O3572" s="9"/>
      <c r="P3572" s="9"/>
      <c r="Q3572" s="9"/>
      <c r="R3572" s="9"/>
      <c r="S3572" s="9"/>
      <c r="T3572" s="9"/>
      <c r="U3572" s="9"/>
      <c r="V3572" s="9"/>
      <c r="W3572" s="9"/>
      <c r="X3572" s="9"/>
      <c r="Y3572" s="9"/>
      <c r="Z3572" s="9"/>
      <c r="AA3572" s="9"/>
    </row>
    <row r="3573">
      <c r="A3573" s="9"/>
      <c r="B3573" s="9"/>
      <c r="C3573" s="9"/>
      <c r="D3573" s="9"/>
      <c r="E3573" s="9"/>
      <c r="F3573" s="9"/>
      <c r="G3573" s="10"/>
      <c r="H3573" s="9"/>
      <c r="I3573" s="15"/>
      <c r="J3573" s="9"/>
      <c r="K3573" s="9"/>
      <c r="L3573" s="9"/>
      <c r="M3573" s="9"/>
      <c r="N3573" s="9"/>
      <c r="O3573" s="9"/>
      <c r="P3573" s="9"/>
      <c r="Q3573" s="9"/>
      <c r="R3573" s="9"/>
      <c r="S3573" s="9"/>
      <c r="T3573" s="9"/>
      <c r="U3573" s="9"/>
      <c r="V3573" s="9"/>
      <c r="W3573" s="9"/>
      <c r="X3573" s="9"/>
      <c r="Y3573" s="9"/>
      <c r="Z3573" s="9"/>
      <c r="AA3573" s="9"/>
    </row>
    <row r="3574">
      <c r="A3574" s="9"/>
      <c r="B3574" s="9"/>
      <c r="C3574" s="9"/>
      <c r="D3574" s="9"/>
      <c r="E3574" s="9"/>
      <c r="F3574" s="9"/>
      <c r="G3574" s="10"/>
      <c r="H3574" s="9"/>
      <c r="I3574" s="15"/>
      <c r="J3574" s="9"/>
      <c r="K3574" s="9"/>
      <c r="L3574" s="9"/>
      <c r="M3574" s="9"/>
      <c r="N3574" s="9"/>
      <c r="O3574" s="9"/>
      <c r="P3574" s="9"/>
      <c r="Q3574" s="9"/>
      <c r="R3574" s="9"/>
      <c r="S3574" s="9"/>
      <c r="T3574" s="9"/>
      <c r="U3574" s="9"/>
      <c r="V3574" s="9"/>
      <c r="W3574" s="9"/>
      <c r="X3574" s="9"/>
      <c r="Y3574" s="9"/>
      <c r="Z3574" s="9"/>
      <c r="AA3574" s="9"/>
    </row>
    <row r="3575">
      <c r="A3575" s="9"/>
      <c r="B3575" s="9"/>
      <c r="C3575" s="9"/>
      <c r="D3575" s="9"/>
      <c r="E3575" s="9"/>
      <c r="F3575" s="9"/>
      <c r="G3575" s="10"/>
      <c r="H3575" s="9"/>
      <c r="I3575" s="15"/>
      <c r="J3575" s="9"/>
      <c r="K3575" s="9"/>
      <c r="L3575" s="9"/>
      <c r="M3575" s="9"/>
      <c r="N3575" s="9"/>
      <c r="O3575" s="9"/>
      <c r="P3575" s="9"/>
      <c r="Q3575" s="9"/>
      <c r="R3575" s="9"/>
      <c r="S3575" s="9"/>
      <c r="T3575" s="9"/>
      <c r="U3575" s="9"/>
      <c r="V3575" s="9"/>
      <c r="W3575" s="9"/>
      <c r="X3575" s="9"/>
      <c r="Y3575" s="9"/>
      <c r="Z3575" s="9"/>
      <c r="AA3575" s="9"/>
    </row>
    <row r="3576">
      <c r="A3576" s="9"/>
      <c r="B3576" s="9"/>
      <c r="C3576" s="9"/>
      <c r="D3576" s="9"/>
      <c r="E3576" s="9"/>
      <c r="F3576" s="9"/>
      <c r="G3576" s="10"/>
      <c r="H3576" s="9"/>
      <c r="I3576" s="15"/>
      <c r="J3576" s="9"/>
      <c r="K3576" s="9"/>
      <c r="L3576" s="9"/>
      <c r="M3576" s="9"/>
      <c r="N3576" s="9"/>
      <c r="O3576" s="9"/>
      <c r="P3576" s="9"/>
      <c r="Q3576" s="9"/>
      <c r="R3576" s="9"/>
      <c r="S3576" s="9"/>
      <c r="T3576" s="9"/>
      <c r="U3576" s="9"/>
      <c r="V3576" s="9"/>
      <c r="W3576" s="9"/>
      <c r="X3576" s="9"/>
      <c r="Y3576" s="9"/>
      <c r="Z3576" s="9"/>
      <c r="AA3576" s="9"/>
    </row>
    <row r="3577">
      <c r="A3577" s="9"/>
      <c r="B3577" s="9"/>
      <c r="C3577" s="9"/>
      <c r="D3577" s="9"/>
      <c r="E3577" s="9"/>
      <c r="F3577" s="9"/>
      <c r="G3577" s="10"/>
      <c r="H3577" s="9"/>
      <c r="I3577" s="15"/>
      <c r="J3577" s="9"/>
      <c r="K3577" s="9"/>
      <c r="L3577" s="9"/>
      <c r="M3577" s="9"/>
      <c r="N3577" s="9"/>
      <c r="O3577" s="9"/>
      <c r="P3577" s="9"/>
      <c r="Q3577" s="9"/>
      <c r="R3577" s="9"/>
      <c r="S3577" s="9"/>
      <c r="T3577" s="9"/>
      <c r="U3577" s="9"/>
      <c r="V3577" s="9"/>
      <c r="W3577" s="9"/>
      <c r="X3577" s="9"/>
      <c r="Y3577" s="9"/>
      <c r="Z3577" s="9"/>
      <c r="AA3577" s="9"/>
    </row>
    <row r="3578">
      <c r="A3578" s="9"/>
      <c r="B3578" s="9"/>
      <c r="C3578" s="9"/>
      <c r="D3578" s="9"/>
      <c r="E3578" s="9"/>
      <c r="F3578" s="9"/>
      <c r="G3578" s="10"/>
      <c r="H3578" s="9"/>
      <c r="I3578" s="15"/>
      <c r="J3578" s="9"/>
      <c r="K3578" s="9"/>
      <c r="L3578" s="9"/>
      <c r="M3578" s="9"/>
      <c r="N3578" s="9"/>
      <c r="O3578" s="9"/>
      <c r="P3578" s="9"/>
      <c r="Q3578" s="9"/>
      <c r="R3578" s="9"/>
      <c r="S3578" s="9"/>
      <c r="T3578" s="9"/>
      <c r="U3578" s="9"/>
      <c r="V3578" s="9"/>
      <c r="W3578" s="9"/>
      <c r="X3578" s="9"/>
      <c r="Y3578" s="9"/>
      <c r="Z3578" s="9"/>
      <c r="AA3578" s="9"/>
    </row>
    <row r="3579">
      <c r="A3579" s="9"/>
      <c r="B3579" s="9"/>
      <c r="C3579" s="9"/>
      <c r="D3579" s="9"/>
      <c r="E3579" s="9"/>
      <c r="F3579" s="9"/>
      <c r="G3579" s="10"/>
      <c r="H3579" s="9"/>
      <c r="I3579" s="15"/>
      <c r="J3579" s="9"/>
      <c r="K3579" s="9"/>
      <c r="L3579" s="9"/>
      <c r="M3579" s="9"/>
      <c r="N3579" s="9"/>
      <c r="O3579" s="9"/>
      <c r="P3579" s="9"/>
      <c r="Q3579" s="9"/>
      <c r="R3579" s="9"/>
      <c r="S3579" s="9"/>
      <c r="T3579" s="9"/>
      <c r="U3579" s="9"/>
      <c r="V3579" s="9"/>
      <c r="W3579" s="9"/>
      <c r="X3579" s="9"/>
      <c r="Y3579" s="9"/>
      <c r="Z3579" s="9"/>
      <c r="AA3579" s="9"/>
    </row>
    <row r="3580">
      <c r="A3580" s="9"/>
      <c r="B3580" s="9"/>
      <c r="C3580" s="9"/>
      <c r="D3580" s="9"/>
      <c r="E3580" s="9"/>
      <c r="F3580" s="9"/>
      <c r="G3580" s="10"/>
      <c r="H3580" s="9"/>
      <c r="I3580" s="15"/>
      <c r="J3580" s="9"/>
      <c r="K3580" s="9"/>
      <c r="L3580" s="9"/>
      <c r="M3580" s="9"/>
      <c r="N3580" s="9"/>
      <c r="O3580" s="9"/>
      <c r="P3580" s="9"/>
      <c r="Q3580" s="9"/>
      <c r="R3580" s="9"/>
      <c r="S3580" s="9"/>
      <c r="T3580" s="9"/>
      <c r="U3580" s="9"/>
      <c r="V3580" s="9"/>
      <c r="W3580" s="9"/>
      <c r="X3580" s="9"/>
      <c r="Y3580" s="9"/>
      <c r="Z3580" s="9"/>
      <c r="AA3580" s="9"/>
    </row>
    <row r="3581">
      <c r="A3581" s="9"/>
      <c r="B3581" s="9"/>
      <c r="C3581" s="9"/>
      <c r="D3581" s="9"/>
      <c r="E3581" s="9"/>
      <c r="F3581" s="9"/>
      <c r="G3581" s="10"/>
      <c r="H3581" s="9"/>
      <c r="I3581" s="15"/>
      <c r="J3581" s="9"/>
      <c r="K3581" s="9"/>
      <c r="L3581" s="9"/>
      <c r="M3581" s="9"/>
      <c r="N3581" s="9"/>
      <c r="O3581" s="9"/>
      <c r="P3581" s="9"/>
      <c r="Q3581" s="9"/>
      <c r="R3581" s="9"/>
      <c r="S3581" s="9"/>
      <c r="T3581" s="9"/>
      <c r="U3581" s="9"/>
      <c r="V3581" s="9"/>
      <c r="W3581" s="9"/>
      <c r="X3581" s="9"/>
      <c r="Y3581" s="9"/>
      <c r="Z3581" s="9"/>
      <c r="AA3581" s="9"/>
    </row>
    <row r="3582">
      <c r="A3582" s="9"/>
      <c r="B3582" s="9"/>
      <c r="C3582" s="9"/>
      <c r="D3582" s="9"/>
      <c r="E3582" s="9"/>
      <c r="F3582" s="9"/>
      <c r="G3582" s="10"/>
      <c r="H3582" s="9"/>
      <c r="I3582" s="15"/>
      <c r="J3582" s="9"/>
      <c r="K3582" s="9"/>
      <c r="L3582" s="9"/>
      <c r="M3582" s="9"/>
      <c r="N3582" s="9"/>
      <c r="O3582" s="9"/>
      <c r="P3582" s="9"/>
      <c r="Q3582" s="9"/>
      <c r="R3582" s="9"/>
      <c r="S3582" s="9"/>
      <c r="T3582" s="9"/>
      <c r="U3582" s="9"/>
      <c r="V3582" s="9"/>
      <c r="W3582" s="9"/>
      <c r="X3582" s="9"/>
      <c r="Y3582" s="9"/>
      <c r="Z3582" s="9"/>
      <c r="AA3582" s="9"/>
    </row>
    <row r="3583">
      <c r="A3583" s="9"/>
      <c r="B3583" s="9"/>
      <c r="C3583" s="9"/>
      <c r="D3583" s="9"/>
      <c r="E3583" s="9"/>
      <c r="F3583" s="9"/>
      <c r="G3583" s="10"/>
      <c r="H3583" s="9"/>
      <c r="I3583" s="15"/>
      <c r="J3583" s="9"/>
      <c r="K3583" s="9"/>
      <c r="L3583" s="9"/>
      <c r="M3583" s="9"/>
      <c r="N3583" s="9"/>
      <c r="O3583" s="9"/>
      <c r="P3583" s="9"/>
      <c r="Q3583" s="9"/>
      <c r="R3583" s="9"/>
      <c r="S3583" s="9"/>
      <c r="T3583" s="9"/>
      <c r="U3583" s="9"/>
      <c r="V3583" s="9"/>
      <c r="W3583" s="9"/>
      <c r="X3583" s="9"/>
      <c r="Y3583" s="9"/>
      <c r="Z3583" s="9"/>
      <c r="AA3583" s="9"/>
    </row>
    <row r="3584">
      <c r="A3584" s="9"/>
      <c r="B3584" s="9"/>
      <c r="C3584" s="9"/>
      <c r="D3584" s="9"/>
      <c r="E3584" s="9"/>
      <c r="F3584" s="9"/>
      <c r="G3584" s="10"/>
      <c r="H3584" s="9"/>
      <c r="I3584" s="15"/>
      <c r="J3584" s="9"/>
      <c r="K3584" s="9"/>
      <c r="L3584" s="9"/>
      <c r="M3584" s="9"/>
      <c r="N3584" s="9"/>
      <c r="O3584" s="9"/>
      <c r="P3584" s="9"/>
      <c r="Q3584" s="9"/>
      <c r="R3584" s="9"/>
      <c r="S3584" s="9"/>
      <c r="T3584" s="9"/>
      <c r="U3584" s="9"/>
      <c r="V3584" s="9"/>
      <c r="W3584" s="9"/>
      <c r="X3584" s="9"/>
      <c r="Y3584" s="9"/>
      <c r="Z3584" s="9"/>
      <c r="AA3584" s="9"/>
    </row>
    <row r="3585">
      <c r="A3585" s="9"/>
      <c r="B3585" s="9"/>
      <c r="C3585" s="9"/>
      <c r="D3585" s="9"/>
      <c r="E3585" s="9"/>
      <c r="F3585" s="9"/>
      <c r="G3585" s="10"/>
      <c r="H3585" s="9"/>
      <c r="I3585" s="15"/>
      <c r="J3585" s="9"/>
      <c r="K3585" s="9"/>
      <c r="L3585" s="9"/>
      <c r="M3585" s="9"/>
      <c r="N3585" s="9"/>
      <c r="O3585" s="9"/>
      <c r="P3585" s="9"/>
      <c r="Q3585" s="9"/>
      <c r="R3585" s="9"/>
      <c r="S3585" s="9"/>
      <c r="T3585" s="9"/>
      <c r="U3585" s="9"/>
      <c r="V3585" s="9"/>
      <c r="W3585" s="9"/>
      <c r="X3585" s="9"/>
      <c r="Y3585" s="9"/>
      <c r="Z3585" s="9"/>
      <c r="AA3585" s="9"/>
    </row>
    <row r="3586">
      <c r="A3586" s="9"/>
      <c r="B3586" s="9"/>
      <c r="C3586" s="9"/>
      <c r="D3586" s="9"/>
      <c r="E3586" s="9"/>
      <c r="F3586" s="9"/>
      <c r="G3586" s="10"/>
      <c r="H3586" s="9"/>
      <c r="I3586" s="15"/>
      <c r="J3586" s="9"/>
      <c r="K3586" s="9"/>
      <c r="L3586" s="9"/>
      <c r="M3586" s="9"/>
      <c r="N3586" s="9"/>
      <c r="O3586" s="9"/>
      <c r="P3586" s="9"/>
      <c r="Q3586" s="9"/>
      <c r="R3586" s="9"/>
      <c r="S3586" s="9"/>
      <c r="T3586" s="9"/>
      <c r="U3586" s="9"/>
      <c r="V3586" s="9"/>
      <c r="W3586" s="9"/>
      <c r="X3586" s="9"/>
      <c r="Y3586" s="9"/>
      <c r="Z3586" s="9"/>
      <c r="AA3586" s="9"/>
    </row>
    <row r="3587">
      <c r="A3587" s="9"/>
      <c r="B3587" s="9"/>
      <c r="C3587" s="9"/>
      <c r="D3587" s="9"/>
      <c r="E3587" s="9"/>
      <c r="F3587" s="9"/>
      <c r="G3587" s="10"/>
      <c r="H3587" s="9"/>
      <c r="I3587" s="15"/>
      <c r="J3587" s="9"/>
      <c r="K3587" s="9"/>
      <c r="L3587" s="9"/>
      <c r="M3587" s="9"/>
      <c r="N3587" s="9"/>
      <c r="O3587" s="9"/>
      <c r="P3587" s="9"/>
      <c r="Q3587" s="9"/>
      <c r="R3587" s="9"/>
      <c r="S3587" s="9"/>
      <c r="T3587" s="9"/>
      <c r="U3587" s="9"/>
      <c r="V3587" s="9"/>
      <c r="W3587" s="9"/>
      <c r="X3587" s="9"/>
      <c r="Y3587" s="9"/>
      <c r="Z3587" s="9"/>
      <c r="AA3587" s="9"/>
    </row>
    <row r="3588">
      <c r="A3588" s="9"/>
      <c r="B3588" s="9"/>
      <c r="C3588" s="9"/>
      <c r="D3588" s="9"/>
      <c r="E3588" s="9"/>
      <c r="F3588" s="9"/>
      <c r="G3588" s="10"/>
      <c r="H3588" s="9"/>
      <c r="I3588" s="15"/>
      <c r="J3588" s="9"/>
      <c r="K3588" s="9"/>
      <c r="L3588" s="9"/>
      <c r="M3588" s="9"/>
      <c r="N3588" s="9"/>
      <c r="O3588" s="9"/>
      <c r="P3588" s="9"/>
      <c r="Q3588" s="9"/>
      <c r="R3588" s="9"/>
      <c r="S3588" s="9"/>
      <c r="T3588" s="9"/>
      <c r="U3588" s="9"/>
      <c r="V3588" s="9"/>
      <c r="W3588" s="9"/>
      <c r="X3588" s="9"/>
      <c r="Y3588" s="9"/>
      <c r="Z3588" s="9"/>
      <c r="AA3588" s="9"/>
    </row>
    <row r="3589">
      <c r="A3589" s="9"/>
      <c r="B3589" s="9"/>
      <c r="C3589" s="9"/>
      <c r="D3589" s="9"/>
      <c r="E3589" s="9"/>
      <c r="F3589" s="9"/>
      <c r="G3589" s="10"/>
      <c r="H3589" s="9"/>
      <c r="I3589" s="15"/>
      <c r="J3589" s="9"/>
      <c r="K3589" s="9"/>
      <c r="L3589" s="9"/>
      <c r="M3589" s="9"/>
      <c r="N3589" s="9"/>
      <c r="O3589" s="9"/>
      <c r="P3589" s="9"/>
      <c r="Q3589" s="9"/>
      <c r="R3589" s="9"/>
      <c r="S3589" s="9"/>
      <c r="T3589" s="9"/>
      <c r="U3589" s="9"/>
      <c r="V3589" s="9"/>
      <c r="W3589" s="9"/>
      <c r="X3589" s="9"/>
      <c r="Y3589" s="9"/>
      <c r="Z3589" s="9"/>
      <c r="AA3589" s="9"/>
    </row>
    <row r="3590">
      <c r="A3590" s="9"/>
      <c r="B3590" s="9"/>
      <c r="C3590" s="9"/>
      <c r="D3590" s="9"/>
      <c r="E3590" s="9"/>
      <c r="F3590" s="9"/>
      <c r="G3590" s="10"/>
      <c r="H3590" s="9"/>
      <c r="I3590" s="15"/>
      <c r="J3590" s="9"/>
      <c r="K3590" s="9"/>
      <c r="L3590" s="9"/>
      <c r="M3590" s="9"/>
      <c r="N3590" s="9"/>
      <c r="O3590" s="9"/>
      <c r="P3590" s="9"/>
      <c r="Q3590" s="9"/>
      <c r="R3590" s="9"/>
      <c r="S3590" s="9"/>
      <c r="T3590" s="9"/>
      <c r="U3590" s="9"/>
      <c r="V3590" s="9"/>
      <c r="W3590" s="9"/>
      <c r="X3590" s="9"/>
      <c r="Y3590" s="9"/>
      <c r="Z3590" s="9"/>
      <c r="AA3590" s="9"/>
    </row>
    <row r="3591">
      <c r="A3591" s="9"/>
      <c r="B3591" s="9"/>
      <c r="C3591" s="9"/>
      <c r="D3591" s="9"/>
      <c r="E3591" s="9"/>
      <c r="F3591" s="9"/>
      <c r="G3591" s="10"/>
      <c r="H3591" s="9"/>
      <c r="I3591" s="15"/>
      <c r="J3591" s="9"/>
      <c r="K3591" s="9"/>
      <c r="L3591" s="9"/>
      <c r="M3591" s="9"/>
      <c r="N3591" s="9"/>
      <c r="O3591" s="9"/>
      <c r="P3591" s="9"/>
      <c r="Q3591" s="9"/>
      <c r="R3591" s="9"/>
      <c r="S3591" s="9"/>
      <c r="T3591" s="9"/>
      <c r="U3591" s="9"/>
      <c r="V3591" s="9"/>
      <c r="W3591" s="9"/>
      <c r="X3591" s="9"/>
      <c r="Y3591" s="9"/>
      <c r="Z3591" s="9"/>
      <c r="AA3591" s="9"/>
    </row>
    <row r="3592">
      <c r="A3592" s="9"/>
      <c r="B3592" s="9"/>
      <c r="C3592" s="9"/>
      <c r="D3592" s="9"/>
      <c r="E3592" s="9"/>
      <c r="F3592" s="9"/>
      <c r="G3592" s="10"/>
      <c r="H3592" s="9"/>
      <c r="I3592" s="15"/>
      <c r="J3592" s="9"/>
      <c r="K3592" s="9"/>
      <c r="L3592" s="9"/>
      <c r="M3592" s="9"/>
      <c r="N3592" s="9"/>
      <c r="O3592" s="9"/>
      <c r="P3592" s="9"/>
      <c r="Q3592" s="9"/>
      <c r="R3592" s="9"/>
      <c r="S3592" s="9"/>
      <c r="T3592" s="9"/>
      <c r="U3592" s="9"/>
      <c r="V3592" s="9"/>
      <c r="W3592" s="9"/>
      <c r="X3592" s="9"/>
      <c r="Y3592" s="9"/>
      <c r="Z3592" s="9"/>
      <c r="AA3592" s="9"/>
    </row>
    <row r="3593">
      <c r="A3593" s="9"/>
      <c r="B3593" s="9"/>
      <c r="C3593" s="9"/>
      <c r="D3593" s="9"/>
      <c r="E3593" s="9"/>
      <c r="F3593" s="9"/>
      <c r="G3593" s="10"/>
      <c r="H3593" s="9"/>
      <c r="I3593" s="15"/>
      <c r="J3593" s="9"/>
      <c r="K3593" s="9"/>
      <c r="L3593" s="9"/>
      <c r="M3593" s="9"/>
      <c r="N3593" s="9"/>
      <c r="O3593" s="9"/>
      <c r="P3593" s="9"/>
      <c r="Q3593" s="9"/>
      <c r="R3593" s="9"/>
      <c r="S3593" s="9"/>
      <c r="T3593" s="9"/>
      <c r="U3593" s="9"/>
      <c r="V3593" s="9"/>
      <c r="W3593" s="9"/>
      <c r="X3593" s="9"/>
      <c r="Y3593" s="9"/>
      <c r="Z3593" s="9"/>
      <c r="AA3593" s="9"/>
    </row>
    <row r="3594">
      <c r="A3594" s="9"/>
      <c r="B3594" s="9"/>
      <c r="C3594" s="9"/>
      <c r="D3594" s="9"/>
      <c r="E3594" s="9"/>
      <c r="F3594" s="9"/>
      <c r="G3594" s="10"/>
      <c r="H3594" s="9"/>
      <c r="I3594" s="15"/>
      <c r="J3594" s="9"/>
      <c r="K3594" s="9"/>
      <c r="L3594" s="9"/>
      <c r="M3594" s="9"/>
      <c r="N3594" s="9"/>
      <c r="O3594" s="9"/>
      <c r="P3594" s="9"/>
      <c r="Q3594" s="9"/>
      <c r="R3594" s="9"/>
      <c r="S3594" s="9"/>
      <c r="T3594" s="9"/>
      <c r="U3594" s="9"/>
      <c r="V3594" s="9"/>
      <c r="W3594" s="9"/>
      <c r="X3594" s="9"/>
      <c r="Y3594" s="9"/>
      <c r="Z3594" s="9"/>
      <c r="AA3594" s="9"/>
    </row>
    <row r="3595">
      <c r="A3595" s="9"/>
      <c r="B3595" s="9"/>
      <c r="C3595" s="9"/>
      <c r="D3595" s="9"/>
      <c r="E3595" s="9"/>
      <c r="F3595" s="9"/>
      <c r="G3595" s="10"/>
      <c r="H3595" s="9"/>
      <c r="I3595" s="15"/>
      <c r="J3595" s="9"/>
      <c r="K3595" s="9"/>
      <c r="L3595" s="9"/>
      <c r="M3595" s="9"/>
      <c r="N3595" s="9"/>
      <c r="O3595" s="9"/>
      <c r="P3595" s="9"/>
      <c r="Q3595" s="9"/>
      <c r="R3595" s="9"/>
      <c r="S3595" s="9"/>
      <c r="T3595" s="9"/>
      <c r="U3595" s="9"/>
      <c r="V3595" s="9"/>
      <c r="W3595" s="9"/>
      <c r="X3595" s="9"/>
      <c r="Y3595" s="9"/>
      <c r="Z3595" s="9"/>
      <c r="AA3595" s="9"/>
    </row>
    <row r="3596">
      <c r="A3596" s="9"/>
      <c r="B3596" s="9"/>
      <c r="C3596" s="9"/>
      <c r="D3596" s="9"/>
      <c r="E3596" s="9"/>
      <c r="F3596" s="9"/>
      <c r="G3596" s="10"/>
      <c r="H3596" s="9"/>
      <c r="I3596" s="15"/>
      <c r="J3596" s="9"/>
      <c r="K3596" s="9"/>
      <c r="L3596" s="9"/>
      <c r="M3596" s="9"/>
      <c r="N3596" s="9"/>
      <c r="O3596" s="9"/>
      <c r="P3596" s="9"/>
      <c r="Q3596" s="9"/>
      <c r="R3596" s="9"/>
      <c r="S3596" s="9"/>
      <c r="T3596" s="9"/>
      <c r="U3596" s="9"/>
      <c r="V3596" s="9"/>
      <c r="W3596" s="9"/>
      <c r="X3596" s="9"/>
      <c r="Y3596" s="9"/>
      <c r="Z3596" s="9"/>
      <c r="AA3596" s="9"/>
    </row>
    <row r="3597">
      <c r="A3597" s="9"/>
      <c r="B3597" s="9"/>
      <c r="C3597" s="9"/>
      <c r="D3597" s="9"/>
      <c r="E3597" s="9"/>
      <c r="F3597" s="9"/>
      <c r="G3597" s="10"/>
      <c r="H3597" s="9"/>
      <c r="I3597" s="15"/>
      <c r="J3597" s="9"/>
      <c r="K3597" s="9"/>
      <c r="L3597" s="9"/>
      <c r="M3597" s="9"/>
      <c r="N3597" s="9"/>
      <c r="O3597" s="9"/>
      <c r="P3597" s="9"/>
      <c r="Q3597" s="9"/>
      <c r="R3597" s="9"/>
      <c r="S3597" s="9"/>
      <c r="T3597" s="9"/>
      <c r="U3597" s="9"/>
      <c r="V3597" s="9"/>
      <c r="W3597" s="9"/>
      <c r="X3597" s="9"/>
      <c r="Y3597" s="9"/>
      <c r="Z3597" s="9"/>
      <c r="AA3597" s="9"/>
    </row>
    <row r="3598">
      <c r="A3598" s="9"/>
      <c r="B3598" s="9"/>
      <c r="C3598" s="9"/>
      <c r="D3598" s="9"/>
      <c r="E3598" s="9"/>
      <c r="F3598" s="9"/>
      <c r="G3598" s="10"/>
      <c r="H3598" s="9"/>
      <c r="I3598" s="15"/>
      <c r="J3598" s="9"/>
      <c r="K3598" s="9"/>
      <c r="L3598" s="9"/>
      <c r="M3598" s="9"/>
      <c r="N3598" s="9"/>
      <c r="O3598" s="9"/>
      <c r="P3598" s="9"/>
      <c r="Q3598" s="9"/>
      <c r="R3598" s="9"/>
      <c r="S3598" s="9"/>
      <c r="T3598" s="9"/>
      <c r="U3598" s="9"/>
      <c r="V3598" s="9"/>
      <c r="W3598" s="9"/>
      <c r="X3598" s="9"/>
      <c r="Y3598" s="9"/>
      <c r="Z3598" s="9"/>
      <c r="AA3598" s="9"/>
    </row>
    <row r="3599">
      <c r="A3599" s="9"/>
      <c r="B3599" s="9"/>
      <c r="C3599" s="9"/>
      <c r="D3599" s="9"/>
      <c r="E3599" s="9"/>
      <c r="F3599" s="9"/>
      <c r="G3599" s="10"/>
      <c r="H3599" s="9"/>
      <c r="I3599" s="15"/>
      <c r="J3599" s="9"/>
      <c r="K3599" s="9"/>
      <c r="L3599" s="9"/>
      <c r="M3599" s="9"/>
      <c r="N3599" s="9"/>
      <c r="O3599" s="9"/>
      <c r="P3599" s="9"/>
      <c r="Q3599" s="9"/>
      <c r="R3599" s="9"/>
      <c r="S3599" s="9"/>
      <c r="T3599" s="9"/>
      <c r="U3599" s="9"/>
      <c r="V3599" s="9"/>
      <c r="W3599" s="9"/>
      <c r="X3599" s="9"/>
      <c r="Y3599" s="9"/>
      <c r="Z3599" s="9"/>
      <c r="AA3599" s="9"/>
    </row>
    <row r="3600">
      <c r="A3600" s="9"/>
      <c r="B3600" s="9"/>
      <c r="C3600" s="9"/>
      <c r="D3600" s="9"/>
      <c r="E3600" s="9"/>
      <c r="F3600" s="9"/>
      <c r="G3600" s="10"/>
      <c r="H3600" s="9"/>
      <c r="I3600" s="15"/>
      <c r="J3600" s="9"/>
      <c r="K3600" s="9"/>
      <c r="L3600" s="9"/>
      <c r="M3600" s="9"/>
      <c r="N3600" s="9"/>
      <c r="O3600" s="9"/>
      <c r="P3600" s="9"/>
      <c r="Q3600" s="9"/>
      <c r="R3600" s="9"/>
      <c r="S3600" s="9"/>
      <c r="T3600" s="9"/>
      <c r="U3600" s="9"/>
      <c r="V3600" s="9"/>
      <c r="W3600" s="9"/>
      <c r="X3600" s="9"/>
      <c r="Y3600" s="9"/>
      <c r="Z3600" s="9"/>
      <c r="AA3600" s="9"/>
    </row>
    <row r="3601">
      <c r="A3601" s="9"/>
      <c r="B3601" s="9"/>
      <c r="C3601" s="9"/>
      <c r="D3601" s="9"/>
      <c r="E3601" s="9"/>
      <c r="F3601" s="9"/>
      <c r="G3601" s="10"/>
      <c r="H3601" s="9"/>
      <c r="I3601" s="15"/>
      <c r="J3601" s="9"/>
      <c r="K3601" s="9"/>
      <c r="L3601" s="9"/>
      <c r="M3601" s="9"/>
      <c r="N3601" s="9"/>
      <c r="O3601" s="9"/>
      <c r="P3601" s="9"/>
      <c r="Q3601" s="9"/>
      <c r="R3601" s="9"/>
      <c r="S3601" s="9"/>
      <c r="T3601" s="9"/>
      <c r="U3601" s="9"/>
      <c r="V3601" s="9"/>
      <c r="W3601" s="9"/>
      <c r="X3601" s="9"/>
      <c r="Y3601" s="9"/>
      <c r="Z3601" s="9"/>
      <c r="AA3601" s="9"/>
    </row>
    <row r="3602">
      <c r="A3602" s="9"/>
      <c r="B3602" s="9"/>
      <c r="C3602" s="9"/>
      <c r="D3602" s="9"/>
      <c r="E3602" s="9"/>
      <c r="F3602" s="9"/>
      <c r="G3602" s="10"/>
      <c r="H3602" s="9"/>
      <c r="I3602" s="15"/>
      <c r="J3602" s="9"/>
      <c r="K3602" s="9"/>
      <c r="L3602" s="9"/>
      <c r="M3602" s="9"/>
      <c r="N3602" s="9"/>
      <c r="O3602" s="9"/>
      <c r="P3602" s="9"/>
      <c r="Q3602" s="9"/>
      <c r="R3602" s="9"/>
      <c r="S3602" s="9"/>
      <c r="T3602" s="9"/>
      <c r="U3602" s="9"/>
      <c r="V3602" s="9"/>
      <c r="W3602" s="9"/>
      <c r="X3602" s="9"/>
      <c r="Y3602" s="9"/>
      <c r="Z3602" s="9"/>
      <c r="AA3602" s="9"/>
    </row>
    <row r="3603">
      <c r="A3603" s="9"/>
      <c r="B3603" s="9"/>
      <c r="C3603" s="9"/>
      <c r="D3603" s="9"/>
      <c r="E3603" s="9"/>
      <c r="F3603" s="9"/>
      <c r="G3603" s="10"/>
      <c r="H3603" s="9"/>
      <c r="I3603" s="15"/>
      <c r="J3603" s="9"/>
      <c r="K3603" s="9"/>
      <c r="L3603" s="9"/>
      <c r="M3603" s="9"/>
      <c r="N3603" s="9"/>
      <c r="O3603" s="9"/>
      <c r="P3603" s="9"/>
      <c r="Q3603" s="9"/>
      <c r="R3603" s="9"/>
      <c r="S3603" s="9"/>
      <c r="T3603" s="9"/>
      <c r="U3603" s="9"/>
      <c r="V3603" s="9"/>
      <c r="W3603" s="9"/>
      <c r="X3603" s="9"/>
      <c r="Y3603" s="9"/>
      <c r="Z3603" s="9"/>
      <c r="AA3603" s="9"/>
    </row>
    <row r="3604">
      <c r="A3604" s="9"/>
      <c r="B3604" s="9"/>
      <c r="C3604" s="9"/>
      <c r="D3604" s="9"/>
      <c r="E3604" s="9"/>
      <c r="F3604" s="9"/>
      <c r="G3604" s="10"/>
      <c r="H3604" s="9"/>
      <c r="I3604" s="15"/>
      <c r="J3604" s="9"/>
      <c r="K3604" s="9"/>
      <c r="L3604" s="9"/>
      <c r="M3604" s="9"/>
      <c r="N3604" s="9"/>
      <c r="O3604" s="9"/>
      <c r="P3604" s="9"/>
      <c r="Q3604" s="9"/>
      <c r="R3604" s="9"/>
      <c r="S3604" s="9"/>
      <c r="T3604" s="9"/>
      <c r="U3604" s="9"/>
      <c r="V3604" s="9"/>
      <c r="W3604" s="9"/>
      <c r="X3604" s="9"/>
      <c r="Y3604" s="9"/>
      <c r="Z3604" s="9"/>
      <c r="AA3604" s="9"/>
    </row>
    <row r="3605">
      <c r="A3605" s="9"/>
      <c r="B3605" s="9"/>
      <c r="C3605" s="9"/>
      <c r="D3605" s="9"/>
      <c r="E3605" s="9"/>
      <c r="F3605" s="9"/>
      <c r="G3605" s="10"/>
      <c r="H3605" s="9"/>
      <c r="I3605" s="15"/>
      <c r="J3605" s="9"/>
      <c r="K3605" s="9"/>
      <c r="L3605" s="9"/>
      <c r="M3605" s="9"/>
      <c r="N3605" s="9"/>
      <c r="O3605" s="9"/>
      <c r="P3605" s="9"/>
      <c r="Q3605" s="9"/>
      <c r="R3605" s="9"/>
      <c r="S3605" s="9"/>
      <c r="T3605" s="9"/>
      <c r="U3605" s="9"/>
      <c r="V3605" s="9"/>
      <c r="W3605" s="9"/>
      <c r="X3605" s="9"/>
      <c r="Y3605" s="9"/>
      <c r="Z3605" s="9"/>
      <c r="AA3605" s="9"/>
    </row>
    <row r="3606">
      <c r="A3606" s="9"/>
      <c r="B3606" s="9"/>
      <c r="C3606" s="9"/>
      <c r="D3606" s="9"/>
      <c r="E3606" s="9"/>
      <c r="F3606" s="9"/>
      <c r="G3606" s="10"/>
      <c r="H3606" s="9"/>
      <c r="I3606" s="15"/>
      <c r="J3606" s="9"/>
      <c r="K3606" s="9"/>
      <c r="L3606" s="9"/>
      <c r="M3606" s="9"/>
      <c r="N3606" s="9"/>
      <c r="O3606" s="9"/>
      <c r="P3606" s="9"/>
      <c r="Q3606" s="9"/>
      <c r="R3606" s="9"/>
      <c r="S3606" s="9"/>
      <c r="T3606" s="9"/>
      <c r="U3606" s="9"/>
      <c r="V3606" s="9"/>
      <c r="W3606" s="9"/>
      <c r="X3606" s="9"/>
      <c r="Y3606" s="9"/>
      <c r="Z3606" s="9"/>
      <c r="AA3606" s="9"/>
    </row>
    <row r="3607">
      <c r="A3607" s="9"/>
      <c r="B3607" s="9"/>
      <c r="C3607" s="9"/>
      <c r="D3607" s="9"/>
      <c r="E3607" s="9"/>
      <c r="F3607" s="9"/>
      <c r="G3607" s="10"/>
      <c r="H3607" s="9"/>
      <c r="I3607" s="15"/>
      <c r="J3607" s="9"/>
      <c r="K3607" s="9"/>
      <c r="L3607" s="9"/>
      <c r="M3607" s="9"/>
      <c r="N3607" s="9"/>
      <c r="O3607" s="9"/>
      <c r="P3607" s="9"/>
      <c r="Q3607" s="9"/>
      <c r="R3607" s="9"/>
      <c r="S3607" s="9"/>
      <c r="T3607" s="9"/>
      <c r="U3607" s="9"/>
      <c r="V3607" s="9"/>
      <c r="W3607" s="9"/>
      <c r="X3607" s="9"/>
      <c r="Y3607" s="9"/>
      <c r="Z3607" s="9"/>
      <c r="AA3607" s="9"/>
    </row>
    <row r="3608">
      <c r="A3608" s="9"/>
      <c r="B3608" s="9"/>
      <c r="C3608" s="9"/>
      <c r="D3608" s="9"/>
      <c r="E3608" s="9"/>
      <c r="F3608" s="9"/>
      <c r="G3608" s="10"/>
      <c r="H3608" s="9"/>
      <c r="I3608" s="15"/>
      <c r="J3608" s="9"/>
      <c r="K3608" s="9"/>
      <c r="L3608" s="9"/>
      <c r="M3608" s="9"/>
      <c r="N3608" s="9"/>
      <c r="O3608" s="9"/>
      <c r="P3608" s="9"/>
      <c r="Q3608" s="9"/>
      <c r="R3608" s="9"/>
      <c r="S3608" s="9"/>
      <c r="T3608" s="9"/>
      <c r="U3608" s="9"/>
      <c r="V3608" s="9"/>
      <c r="W3608" s="9"/>
      <c r="X3608" s="9"/>
      <c r="Y3608" s="9"/>
      <c r="Z3608" s="9"/>
      <c r="AA3608" s="9"/>
    </row>
    <row r="3609">
      <c r="A3609" s="9"/>
      <c r="B3609" s="9"/>
      <c r="C3609" s="9"/>
      <c r="D3609" s="9"/>
      <c r="E3609" s="9"/>
      <c r="F3609" s="9"/>
      <c r="G3609" s="10"/>
      <c r="H3609" s="9"/>
      <c r="I3609" s="15"/>
      <c r="J3609" s="9"/>
      <c r="K3609" s="9"/>
      <c r="L3609" s="9"/>
      <c r="M3609" s="9"/>
      <c r="N3609" s="9"/>
      <c r="O3609" s="9"/>
      <c r="P3609" s="9"/>
      <c r="Q3609" s="9"/>
      <c r="R3609" s="9"/>
      <c r="S3609" s="9"/>
      <c r="T3609" s="9"/>
      <c r="U3609" s="9"/>
      <c r="V3609" s="9"/>
      <c r="W3609" s="9"/>
      <c r="X3609" s="9"/>
      <c r="Y3609" s="9"/>
      <c r="Z3609" s="9"/>
      <c r="AA3609" s="9"/>
    </row>
    <row r="3610">
      <c r="A3610" s="9"/>
      <c r="B3610" s="9"/>
      <c r="C3610" s="9"/>
      <c r="D3610" s="9"/>
      <c r="E3610" s="9"/>
      <c r="F3610" s="9"/>
      <c r="G3610" s="10"/>
      <c r="H3610" s="9"/>
      <c r="I3610" s="15"/>
      <c r="J3610" s="9"/>
      <c r="K3610" s="9"/>
      <c r="L3610" s="9"/>
      <c r="M3610" s="9"/>
      <c r="N3610" s="9"/>
      <c r="O3610" s="9"/>
      <c r="P3610" s="9"/>
      <c r="Q3610" s="9"/>
      <c r="R3610" s="9"/>
      <c r="S3610" s="9"/>
      <c r="T3610" s="9"/>
      <c r="U3610" s="9"/>
      <c r="V3610" s="9"/>
      <c r="W3610" s="9"/>
      <c r="X3610" s="9"/>
      <c r="Y3610" s="9"/>
      <c r="Z3610" s="9"/>
      <c r="AA3610" s="9"/>
    </row>
    <row r="3611">
      <c r="A3611" s="9"/>
      <c r="B3611" s="9"/>
      <c r="C3611" s="9"/>
      <c r="D3611" s="9"/>
      <c r="E3611" s="9"/>
      <c r="F3611" s="9"/>
      <c r="G3611" s="10"/>
      <c r="H3611" s="9"/>
      <c r="I3611" s="15"/>
      <c r="J3611" s="9"/>
      <c r="K3611" s="9"/>
      <c r="L3611" s="9"/>
      <c r="M3611" s="9"/>
      <c r="N3611" s="9"/>
      <c r="O3611" s="9"/>
      <c r="P3611" s="9"/>
      <c r="Q3611" s="9"/>
      <c r="R3611" s="9"/>
      <c r="S3611" s="9"/>
      <c r="T3611" s="9"/>
      <c r="U3611" s="9"/>
      <c r="V3611" s="9"/>
      <c r="W3611" s="9"/>
      <c r="X3611" s="9"/>
      <c r="Y3611" s="9"/>
      <c r="Z3611" s="9"/>
      <c r="AA3611" s="9"/>
    </row>
    <row r="3612">
      <c r="A3612" s="9"/>
      <c r="B3612" s="9"/>
      <c r="C3612" s="9"/>
      <c r="D3612" s="9"/>
      <c r="E3612" s="9"/>
      <c r="F3612" s="9"/>
      <c r="G3612" s="10"/>
      <c r="H3612" s="9"/>
      <c r="I3612" s="15"/>
      <c r="J3612" s="9"/>
      <c r="K3612" s="9"/>
      <c r="L3612" s="9"/>
      <c r="M3612" s="9"/>
      <c r="N3612" s="9"/>
      <c r="O3612" s="9"/>
      <c r="P3612" s="9"/>
      <c r="Q3612" s="9"/>
      <c r="R3612" s="9"/>
      <c r="S3612" s="9"/>
      <c r="T3612" s="9"/>
      <c r="U3612" s="9"/>
      <c r="V3612" s="9"/>
      <c r="W3612" s="9"/>
      <c r="X3612" s="9"/>
      <c r="Y3612" s="9"/>
      <c r="Z3612" s="9"/>
      <c r="AA3612" s="9"/>
    </row>
    <row r="3613">
      <c r="A3613" s="9"/>
      <c r="B3613" s="9"/>
      <c r="C3613" s="9"/>
      <c r="D3613" s="9"/>
      <c r="E3613" s="9"/>
      <c r="F3613" s="9"/>
      <c r="G3613" s="10"/>
      <c r="H3613" s="9"/>
      <c r="I3613" s="15"/>
      <c r="J3613" s="9"/>
      <c r="K3613" s="9"/>
      <c r="L3613" s="9"/>
      <c r="M3613" s="9"/>
      <c r="N3613" s="9"/>
      <c r="O3613" s="9"/>
      <c r="P3613" s="9"/>
      <c r="Q3613" s="9"/>
      <c r="R3613" s="9"/>
      <c r="S3613" s="9"/>
      <c r="T3613" s="9"/>
      <c r="U3613" s="9"/>
      <c r="V3613" s="9"/>
      <c r="W3613" s="9"/>
      <c r="X3613" s="9"/>
      <c r="Y3613" s="9"/>
      <c r="Z3613" s="9"/>
      <c r="AA3613" s="9"/>
    </row>
    <row r="3614">
      <c r="A3614" s="9"/>
      <c r="B3614" s="9"/>
      <c r="C3614" s="9"/>
      <c r="D3614" s="9"/>
      <c r="E3614" s="9"/>
      <c r="F3614" s="9"/>
      <c r="G3614" s="10"/>
      <c r="H3614" s="9"/>
      <c r="I3614" s="15"/>
      <c r="J3614" s="9"/>
      <c r="K3614" s="9"/>
      <c r="L3614" s="9"/>
      <c r="M3614" s="9"/>
      <c r="N3614" s="9"/>
      <c r="O3614" s="9"/>
      <c r="P3614" s="9"/>
      <c r="Q3614" s="9"/>
      <c r="R3614" s="9"/>
      <c r="S3614" s="9"/>
      <c r="T3614" s="9"/>
      <c r="U3614" s="9"/>
      <c r="V3614" s="9"/>
      <c r="W3614" s="9"/>
      <c r="X3614" s="9"/>
      <c r="Y3614" s="9"/>
      <c r="Z3614" s="9"/>
      <c r="AA3614" s="9"/>
    </row>
    <row r="3615">
      <c r="A3615" s="9"/>
      <c r="B3615" s="9"/>
      <c r="C3615" s="9"/>
      <c r="D3615" s="9"/>
      <c r="E3615" s="9"/>
      <c r="F3615" s="9"/>
      <c r="G3615" s="10"/>
      <c r="H3615" s="9"/>
      <c r="I3615" s="15"/>
      <c r="J3615" s="9"/>
      <c r="K3615" s="9"/>
      <c r="L3615" s="9"/>
      <c r="M3615" s="9"/>
      <c r="N3615" s="9"/>
      <c r="O3615" s="9"/>
      <c r="P3615" s="9"/>
      <c r="Q3615" s="9"/>
      <c r="R3615" s="9"/>
      <c r="S3615" s="9"/>
      <c r="T3615" s="9"/>
      <c r="U3615" s="9"/>
      <c r="V3615" s="9"/>
      <c r="W3615" s="9"/>
      <c r="X3615" s="9"/>
      <c r="Y3615" s="9"/>
      <c r="Z3615" s="9"/>
      <c r="AA3615" s="9"/>
    </row>
    <row r="3616">
      <c r="A3616" s="9"/>
      <c r="B3616" s="9"/>
      <c r="C3616" s="9"/>
      <c r="D3616" s="9"/>
      <c r="E3616" s="9"/>
      <c r="F3616" s="9"/>
      <c r="G3616" s="10"/>
      <c r="H3616" s="9"/>
      <c r="I3616" s="15"/>
      <c r="J3616" s="9"/>
      <c r="K3616" s="9"/>
      <c r="L3616" s="9"/>
      <c r="M3616" s="9"/>
      <c r="N3616" s="9"/>
      <c r="O3616" s="9"/>
      <c r="P3616" s="9"/>
      <c r="Q3616" s="9"/>
      <c r="R3616" s="9"/>
      <c r="S3616" s="9"/>
      <c r="T3616" s="9"/>
      <c r="U3616" s="9"/>
      <c r="V3616" s="9"/>
      <c r="W3616" s="9"/>
      <c r="X3616" s="9"/>
      <c r="Y3616" s="9"/>
      <c r="Z3616" s="9"/>
      <c r="AA3616" s="9"/>
    </row>
    <row r="3617">
      <c r="A3617" s="9"/>
      <c r="B3617" s="9"/>
      <c r="C3617" s="9"/>
      <c r="D3617" s="9"/>
      <c r="E3617" s="9"/>
      <c r="F3617" s="9"/>
      <c r="G3617" s="10"/>
      <c r="H3617" s="9"/>
      <c r="I3617" s="15"/>
      <c r="J3617" s="9"/>
      <c r="K3617" s="9"/>
      <c r="L3617" s="9"/>
      <c r="M3617" s="9"/>
      <c r="N3617" s="9"/>
      <c r="O3617" s="9"/>
      <c r="P3617" s="9"/>
      <c r="Q3617" s="9"/>
      <c r="R3617" s="9"/>
      <c r="S3617" s="9"/>
      <c r="T3617" s="9"/>
      <c r="U3617" s="9"/>
      <c r="V3617" s="9"/>
      <c r="W3617" s="9"/>
      <c r="X3617" s="9"/>
      <c r="Y3617" s="9"/>
      <c r="Z3617" s="9"/>
      <c r="AA3617" s="9"/>
    </row>
    <row r="3618">
      <c r="A3618" s="9"/>
      <c r="B3618" s="9"/>
      <c r="C3618" s="9"/>
      <c r="D3618" s="9"/>
      <c r="E3618" s="9"/>
      <c r="F3618" s="9"/>
      <c r="G3618" s="10"/>
      <c r="H3618" s="9"/>
      <c r="I3618" s="15"/>
      <c r="J3618" s="9"/>
      <c r="K3618" s="9"/>
      <c r="L3618" s="9"/>
      <c r="M3618" s="9"/>
      <c r="N3618" s="9"/>
      <c r="O3618" s="9"/>
      <c r="P3618" s="9"/>
      <c r="Q3618" s="9"/>
      <c r="R3618" s="9"/>
      <c r="S3618" s="9"/>
      <c r="T3618" s="9"/>
      <c r="U3618" s="9"/>
      <c r="V3618" s="9"/>
      <c r="W3618" s="9"/>
      <c r="X3618" s="9"/>
      <c r="Y3618" s="9"/>
      <c r="Z3618" s="9"/>
      <c r="AA3618" s="9"/>
    </row>
    <row r="3619">
      <c r="A3619" s="9"/>
      <c r="B3619" s="9"/>
      <c r="C3619" s="9"/>
      <c r="D3619" s="9"/>
      <c r="E3619" s="9"/>
      <c r="F3619" s="9"/>
      <c r="G3619" s="10"/>
      <c r="H3619" s="9"/>
      <c r="I3619" s="15"/>
      <c r="J3619" s="9"/>
      <c r="K3619" s="9"/>
      <c r="L3619" s="9"/>
      <c r="M3619" s="9"/>
      <c r="N3619" s="9"/>
      <c r="O3619" s="9"/>
      <c r="P3619" s="9"/>
      <c r="Q3619" s="9"/>
      <c r="R3619" s="9"/>
      <c r="S3619" s="9"/>
      <c r="T3619" s="9"/>
      <c r="U3619" s="9"/>
      <c r="V3619" s="9"/>
      <c r="W3619" s="9"/>
      <c r="X3619" s="9"/>
      <c r="Y3619" s="9"/>
      <c r="Z3619" s="9"/>
      <c r="AA3619" s="9"/>
    </row>
    <row r="3620">
      <c r="A3620" s="9"/>
      <c r="B3620" s="9"/>
      <c r="C3620" s="9"/>
      <c r="D3620" s="9"/>
      <c r="E3620" s="9"/>
      <c r="F3620" s="9"/>
      <c r="G3620" s="10"/>
      <c r="H3620" s="9"/>
      <c r="I3620" s="15"/>
      <c r="J3620" s="9"/>
      <c r="K3620" s="9"/>
      <c r="L3620" s="9"/>
      <c r="M3620" s="9"/>
      <c r="N3620" s="9"/>
      <c r="O3620" s="9"/>
      <c r="P3620" s="9"/>
      <c r="Q3620" s="9"/>
      <c r="R3620" s="9"/>
      <c r="S3620" s="9"/>
      <c r="T3620" s="9"/>
      <c r="U3620" s="9"/>
      <c r="V3620" s="9"/>
      <c r="W3620" s="9"/>
      <c r="X3620" s="9"/>
      <c r="Y3620" s="9"/>
      <c r="Z3620" s="9"/>
      <c r="AA3620" s="9"/>
    </row>
    <row r="3621">
      <c r="A3621" s="9"/>
      <c r="B3621" s="9"/>
      <c r="C3621" s="9"/>
      <c r="D3621" s="9"/>
      <c r="E3621" s="9"/>
      <c r="F3621" s="9"/>
      <c r="G3621" s="10"/>
      <c r="H3621" s="9"/>
      <c r="I3621" s="15"/>
      <c r="J3621" s="9"/>
      <c r="K3621" s="9"/>
      <c r="L3621" s="9"/>
      <c r="M3621" s="9"/>
      <c r="N3621" s="9"/>
      <c r="O3621" s="9"/>
      <c r="P3621" s="9"/>
      <c r="Q3621" s="9"/>
      <c r="R3621" s="9"/>
      <c r="S3621" s="9"/>
      <c r="T3621" s="9"/>
      <c r="U3621" s="9"/>
      <c r="V3621" s="9"/>
      <c r="W3621" s="9"/>
      <c r="X3621" s="9"/>
      <c r="Y3621" s="9"/>
      <c r="Z3621" s="9"/>
      <c r="AA3621" s="9"/>
    </row>
    <row r="3622">
      <c r="A3622" s="9"/>
      <c r="B3622" s="9"/>
      <c r="C3622" s="9"/>
      <c r="D3622" s="9"/>
      <c r="E3622" s="9"/>
      <c r="F3622" s="9"/>
      <c r="G3622" s="10"/>
      <c r="H3622" s="9"/>
      <c r="I3622" s="15"/>
      <c r="J3622" s="9"/>
      <c r="K3622" s="9"/>
      <c r="L3622" s="9"/>
      <c r="M3622" s="9"/>
      <c r="N3622" s="9"/>
      <c r="O3622" s="9"/>
      <c r="P3622" s="9"/>
      <c r="Q3622" s="9"/>
      <c r="R3622" s="9"/>
      <c r="S3622" s="9"/>
      <c r="T3622" s="9"/>
      <c r="U3622" s="9"/>
      <c r="V3622" s="9"/>
      <c r="W3622" s="9"/>
      <c r="X3622" s="9"/>
      <c r="Y3622" s="9"/>
      <c r="Z3622" s="9"/>
      <c r="AA3622" s="9"/>
    </row>
    <row r="3623">
      <c r="A3623" s="9"/>
      <c r="B3623" s="9"/>
      <c r="C3623" s="9"/>
      <c r="D3623" s="9"/>
      <c r="E3623" s="9"/>
      <c r="F3623" s="9"/>
      <c r="G3623" s="10"/>
      <c r="H3623" s="9"/>
      <c r="I3623" s="15"/>
      <c r="J3623" s="9"/>
      <c r="K3623" s="9"/>
      <c r="L3623" s="9"/>
      <c r="M3623" s="9"/>
      <c r="N3623" s="9"/>
      <c r="O3623" s="9"/>
      <c r="P3623" s="9"/>
      <c r="Q3623" s="9"/>
      <c r="R3623" s="9"/>
      <c r="S3623" s="9"/>
      <c r="T3623" s="9"/>
      <c r="U3623" s="9"/>
      <c r="V3623" s="9"/>
      <c r="W3623" s="9"/>
      <c r="X3623" s="9"/>
      <c r="Y3623" s="9"/>
      <c r="Z3623" s="9"/>
      <c r="AA3623" s="9"/>
    </row>
    <row r="3624">
      <c r="A3624" s="9"/>
      <c r="B3624" s="9"/>
      <c r="C3624" s="9"/>
      <c r="D3624" s="9"/>
      <c r="E3624" s="9"/>
      <c r="F3624" s="9"/>
      <c r="G3624" s="10"/>
      <c r="H3624" s="9"/>
      <c r="I3624" s="15"/>
      <c r="J3624" s="9"/>
      <c r="K3624" s="9"/>
      <c r="L3624" s="9"/>
      <c r="M3624" s="9"/>
      <c r="N3624" s="9"/>
      <c r="O3624" s="9"/>
      <c r="P3624" s="9"/>
      <c r="Q3624" s="9"/>
      <c r="R3624" s="9"/>
      <c r="S3624" s="9"/>
      <c r="T3624" s="9"/>
      <c r="U3624" s="9"/>
      <c r="V3624" s="9"/>
      <c r="W3624" s="9"/>
      <c r="X3624" s="9"/>
      <c r="Y3624" s="9"/>
      <c r="Z3624" s="9"/>
      <c r="AA3624" s="9"/>
    </row>
    <row r="3625">
      <c r="A3625" s="9"/>
      <c r="B3625" s="9"/>
      <c r="C3625" s="9"/>
      <c r="D3625" s="9"/>
      <c r="E3625" s="9"/>
      <c r="F3625" s="9"/>
      <c r="G3625" s="10"/>
      <c r="H3625" s="9"/>
      <c r="I3625" s="15"/>
      <c r="J3625" s="9"/>
      <c r="K3625" s="9"/>
      <c r="L3625" s="9"/>
      <c r="M3625" s="9"/>
      <c r="N3625" s="9"/>
      <c r="O3625" s="9"/>
      <c r="P3625" s="9"/>
      <c r="Q3625" s="9"/>
      <c r="R3625" s="9"/>
      <c r="S3625" s="9"/>
      <c r="T3625" s="9"/>
      <c r="U3625" s="9"/>
      <c r="V3625" s="9"/>
      <c r="W3625" s="9"/>
      <c r="X3625" s="9"/>
      <c r="Y3625" s="9"/>
      <c r="Z3625" s="9"/>
      <c r="AA3625" s="9"/>
    </row>
    <row r="3626">
      <c r="A3626" s="9"/>
      <c r="B3626" s="9"/>
      <c r="C3626" s="9"/>
      <c r="D3626" s="9"/>
      <c r="E3626" s="9"/>
      <c r="F3626" s="9"/>
      <c r="G3626" s="10"/>
      <c r="H3626" s="9"/>
      <c r="I3626" s="15"/>
      <c r="J3626" s="9"/>
      <c r="K3626" s="9"/>
      <c r="L3626" s="9"/>
      <c r="M3626" s="9"/>
      <c r="N3626" s="9"/>
      <c r="O3626" s="9"/>
      <c r="P3626" s="9"/>
      <c r="Q3626" s="9"/>
      <c r="R3626" s="9"/>
      <c r="S3626" s="9"/>
      <c r="T3626" s="9"/>
      <c r="U3626" s="9"/>
      <c r="V3626" s="9"/>
      <c r="W3626" s="9"/>
      <c r="X3626" s="9"/>
      <c r="Y3626" s="9"/>
      <c r="Z3626" s="9"/>
      <c r="AA3626" s="9"/>
    </row>
    <row r="3627">
      <c r="A3627" s="9"/>
      <c r="B3627" s="9"/>
      <c r="C3627" s="9"/>
      <c r="D3627" s="9"/>
      <c r="E3627" s="9"/>
      <c r="F3627" s="9"/>
      <c r="G3627" s="10"/>
      <c r="H3627" s="9"/>
      <c r="I3627" s="15"/>
      <c r="J3627" s="9"/>
      <c r="K3627" s="9"/>
      <c r="L3627" s="9"/>
      <c r="M3627" s="9"/>
      <c r="N3627" s="9"/>
      <c r="O3627" s="9"/>
      <c r="P3627" s="9"/>
      <c r="Q3627" s="9"/>
      <c r="R3627" s="9"/>
      <c r="S3627" s="9"/>
      <c r="T3627" s="9"/>
      <c r="U3627" s="9"/>
      <c r="V3627" s="9"/>
      <c r="W3627" s="9"/>
      <c r="X3627" s="9"/>
      <c r="Y3627" s="9"/>
      <c r="Z3627" s="9"/>
      <c r="AA3627" s="9"/>
    </row>
    <row r="3628">
      <c r="A3628" s="9"/>
      <c r="B3628" s="9"/>
      <c r="C3628" s="9"/>
      <c r="D3628" s="9"/>
      <c r="E3628" s="9"/>
      <c r="F3628" s="9"/>
      <c r="G3628" s="10"/>
      <c r="H3628" s="9"/>
      <c r="I3628" s="15"/>
      <c r="J3628" s="9"/>
      <c r="K3628" s="9"/>
      <c r="L3628" s="9"/>
      <c r="M3628" s="9"/>
      <c r="N3628" s="9"/>
      <c r="O3628" s="9"/>
      <c r="P3628" s="9"/>
      <c r="Q3628" s="9"/>
      <c r="R3628" s="9"/>
      <c r="S3628" s="9"/>
      <c r="T3628" s="9"/>
      <c r="U3628" s="9"/>
      <c r="V3628" s="9"/>
      <c r="W3628" s="9"/>
      <c r="X3628" s="9"/>
      <c r="Y3628" s="9"/>
      <c r="Z3628" s="9"/>
      <c r="AA3628" s="9"/>
    </row>
    <row r="3629">
      <c r="A3629" s="9"/>
      <c r="B3629" s="9"/>
      <c r="C3629" s="9"/>
      <c r="D3629" s="9"/>
      <c r="E3629" s="9"/>
      <c r="F3629" s="9"/>
      <c r="G3629" s="10"/>
      <c r="H3629" s="9"/>
      <c r="I3629" s="15"/>
      <c r="J3629" s="9"/>
      <c r="K3629" s="9"/>
      <c r="L3629" s="9"/>
      <c r="M3629" s="9"/>
      <c r="N3629" s="9"/>
      <c r="O3629" s="9"/>
      <c r="P3629" s="9"/>
      <c r="Q3629" s="9"/>
      <c r="R3629" s="9"/>
      <c r="S3629" s="9"/>
      <c r="T3629" s="9"/>
      <c r="U3629" s="9"/>
      <c r="V3629" s="9"/>
      <c r="W3629" s="9"/>
      <c r="X3629" s="9"/>
      <c r="Y3629" s="9"/>
      <c r="Z3629" s="9"/>
      <c r="AA3629" s="9"/>
    </row>
    <row r="3630">
      <c r="A3630" s="9"/>
      <c r="B3630" s="9"/>
      <c r="C3630" s="9"/>
      <c r="D3630" s="9"/>
      <c r="E3630" s="9"/>
      <c r="F3630" s="9"/>
      <c r="G3630" s="10"/>
      <c r="H3630" s="9"/>
      <c r="I3630" s="15"/>
      <c r="J3630" s="9"/>
      <c r="K3630" s="9"/>
      <c r="L3630" s="9"/>
      <c r="M3630" s="9"/>
      <c r="N3630" s="9"/>
      <c r="O3630" s="9"/>
      <c r="P3630" s="9"/>
      <c r="Q3630" s="9"/>
      <c r="R3630" s="9"/>
      <c r="S3630" s="9"/>
      <c r="T3630" s="9"/>
      <c r="U3630" s="9"/>
      <c r="V3630" s="9"/>
      <c r="W3630" s="9"/>
      <c r="X3630" s="9"/>
      <c r="Y3630" s="9"/>
      <c r="Z3630" s="9"/>
      <c r="AA3630" s="9"/>
    </row>
    <row r="3631">
      <c r="A3631" s="9"/>
      <c r="B3631" s="9"/>
      <c r="C3631" s="9"/>
      <c r="D3631" s="9"/>
      <c r="E3631" s="9"/>
      <c r="F3631" s="9"/>
      <c r="G3631" s="10"/>
      <c r="H3631" s="9"/>
      <c r="I3631" s="15"/>
      <c r="J3631" s="9"/>
      <c r="K3631" s="9"/>
      <c r="L3631" s="9"/>
      <c r="M3631" s="9"/>
      <c r="N3631" s="9"/>
      <c r="O3631" s="9"/>
      <c r="P3631" s="9"/>
      <c r="Q3631" s="9"/>
      <c r="R3631" s="9"/>
      <c r="S3631" s="9"/>
      <c r="T3631" s="9"/>
      <c r="U3631" s="9"/>
      <c r="V3631" s="9"/>
      <c r="W3631" s="9"/>
      <c r="X3631" s="9"/>
      <c r="Y3631" s="9"/>
      <c r="Z3631" s="9"/>
      <c r="AA3631" s="9"/>
    </row>
    <row r="3632">
      <c r="A3632" s="9"/>
      <c r="B3632" s="9"/>
      <c r="C3632" s="9"/>
      <c r="D3632" s="9"/>
      <c r="E3632" s="9"/>
      <c r="F3632" s="9"/>
      <c r="G3632" s="10"/>
      <c r="H3632" s="9"/>
      <c r="I3632" s="15"/>
      <c r="J3632" s="9"/>
      <c r="K3632" s="9"/>
      <c r="L3632" s="9"/>
      <c r="M3632" s="9"/>
      <c r="N3632" s="9"/>
      <c r="O3632" s="9"/>
      <c r="P3632" s="9"/>
      <c r="Q3632" s="9"/>
      <c r="R3632" s="9"/>
      <c r="S3632" s="9"/>
      <c r="T3632" s="9"/>
      <c r="U3632" s="9"/>
      <c r="V3632" s="9"/>
      <c r="W3632" s="9"/>
      <c r="X3632" s="9"/>
      <c r="Y3632" s="9"/>
      <c r="Z3632" s="9"/>
      <c r="AA3632" s="9"/>
    </row>
    <row r="3633">
      <c r="A3633" s="9"/>
      <c r="B3633" s="9"/>
      <c r="C3633" s="9"/>
      <c r="D3633" s="9"/>
      <c r="E3633" s="9"/>
      <c r="F3633" s="9"/>
      <c r="G3633" s="10"/>
      <c r="H3633" s="9"/>
      <c r="I3633" s="15"/>
      <c r="J3633" s="9"/>
      <c r="K3633" s="9"/>
      <c r="L3633" s="9"/>
      <c r="M3633" s="9"/>
      <c r="N3633" s="9"/>
      <c r="O3633" s="9"/>
      <c r="P3633" s="9"/>
      <c r="Q3633" s="9"/>
      <c r="R3633" s="9"/>
      <c r="S3633" s="9"/>
      <c r="T3633" s="9"/>
      <c r="U3633" s="9"/>
      <c r="V3633" s="9"/>
      <c r="W3633" s="9"/>
      <c r="X3633" s="9"/>
      <c r="Y3633" s="9"/>
      <c r="Z3633" s="9"/>
      <c r="AA3633" s="9"/>
    </row>
    <row r="3634">
      <c r="A3634" s="9"/>
      <c r="B3634" s="9"/>
      <c r="C3634" s="9"/>
      <c r="D3634" s="9"/>
      <c r="E3634" s="9"/>
      <c r="F3634" s="9"/>
      <c r="G3634" s="10"/>
      <c r="H3634" s="9"/>
      <c r="I3634" s="15"/>
      <c r="J3634" s="9"/>
      <c r="K3634" s="9"/>
      <c r="L3634" s="9"/>
      <c r="M3634" s="9"/>
      <c r="N3634" s="9"/>
      <c r="O3634" s="9"/>
      <c r="P3634" s="9"/>
      <c r="Q3634" s="9"/>
      <c r="R3634" s="9"/>
      <c r="S3634" s="9"/>
      <c r="T3634" s="9"/>
      <c r="U3634" s="9"/>
      <c r="V3634" s="9"/>
      <c r="W3634" s="9"/>
      <c r="X3634" s="9"/>
      <c r="Y3634" s="9"/>
      <c r="Z3634" s="9"/>
      <c r="AA3634" s="9"/>
    </row>
    <row r="3635">
      <c r="A3635" s="9"/>
      <c r="B3635" s="9"/>
      <c r="C3635" s="9"/>
      <c r="D3635" s="9"/>
      <c r="E3635" s="9"/>
      <c r="F3635" s="9"/>
      <c r="G3635" s="10"/>
      <c r="H3635" s="9"/>
      <c r="I3635" s="15"/>
      <c r="J3635" s="9"/>
      <c r="K3635" s="9"/>
      <c r="L3635" s="9"/>
      <c r="M3635" s="9"/>
      <c r="N3635" s="9"/>
      <c r="O3635" s="9"/>
      <c r="P3635" s="9"/>
      <c r="Q3635" s="9"/>
      <c r="R3635" s="9"/>
      <c r="S3635" s="9"/>
      <c r="T3635" s="9"/>
      <c r="U3635" s="9"/>
      <c r="V3635" s="9"/>
      <c r="W3635" s="9"/>
      <c r="X3635" s="9"/>
      <c r="Y3635" s="9"/>
      <c r="Z3635" s="9"/>
      <c r="AA3635" s="9"/>
    </row>
    <row r="3636">
      <c r="A3636" s="9"/>
      <c r="B3636" s="9"/>
      <c r="C3636" s="9"/>
      <c r="D3636" s="9"/>
      <c r="E3636" s="9"/>
      <c r="F3636" s="9"/>
      <c r="G3636" s="10"/>
      <c r="H3636" s="9"/>
      <c r="I3636" s="15"/>
      <c r="J3636" s="9"/>
      <c r="K3636" s="9"/>
      <c r="L3636" s="9"/>
      <c r="M3636" s="9"/>
      <c r="N3636" s="9"/>
      <c r="O3636" s="9"/>
      <c r="P3636" s="9"/>
      <c r="Q3636" s="9"/>
      <c r="R3636" s="9"/>
      <c r="S3636" s="9"/>
      <c r="T3636" s="9"/>
      <c r="U3636" s="9"/>
      <c r="V3636" s="9"/>
      <c r="W3636" s="9"/>
      <c r="X3636" s="9"/>
      <c r="Y3636" s="9"/>
      <c r="Z3636" s="9"/>
      <c r="AA3636" s="9"/>
    </row>
    <row r="3637">
      <c r="A3637" s="9"/>
      <c r="B3637" s="9"/>
      <c r="C3637" s="9"/>
      <c r="D3637" s="9"/>
      <c r="E3637" s="9"/>
      <c r="F3637" s="9"/>
      <c r="G3637" s="10"/>
      <c r="H3637" s="9"/>
      <c r="I3637" s="15"/>
      <c r="J3637" s="9"/>
      <c r="K3637" s="9"/>
      <c r="L3637" s="9"/>
      <c r="M3637" s="9"/>
      <c r="N3637" s="9"/>
      <c r="O3637" s="9"/>
      <c r="P3637" s="9"/>
      <c r="Q3637" s="9"/>
      <c r="R3637" s="9"/>
      <c r="S3637" s="9"/>
      <c r="T3637" s="9"/>
      <c r="U3637" s="9"/>
      <c r="V3637" s="9"/>
      <c r="W3637" s="9"/>
      <c r="X3637" s="9"/>
      <c r="Y3637" s="9"/>
      <c r="Z3637" s="9"/>
      <c r="AA3637" s="9"/>
    </row>
    <row r="3638">
      <c r="A3638" s="9"/>
      <c r="B3638" s="9"/>
      <c r="C3638" s="9"/>
      <c r="D3638" s="9"/>
      <c r="E3638" s="9"/>
      <c r="F3638" s="9"/>
      <c r="G3638" s="10"/>
      <c r="H3638" s="9"/>
      <c r="I3638" s="15"/>
      <c r="J3638" s="9"/>
      <c r="K3638" s="9"/>
      <c r="L3638" s="9"/>
      <c r="M3638" s="9"/>
      <c r="N3638" s="9"/>
      <c r="O3638" s="9"/>
      <c r="P3638" s="9"/>
      <c r="Q3638" s="9"/>
      <c r="R3638" s="9"/>
      <c r="S3638" s="9"/>
      <c r="T3638" s="9"/>
      <c r="U3638" s="9"/>
      <c r="V3638" s="9"/>
      <c r="W3638" s="9"/>
      <c r="X3638" s="9"/>
      <c r="Y3638" s="9"/>
      <c r="Z3638" s="9"/>
      <c r="AA3638" s="9"/>
    </row>
    <row r="3639">
      <c r="A3639" s="9"/>
      <c r="B3639" s="9"/>
      <c r="C3639" s="9"/>
      <c r="D3639" s="9"/>
      <c r="E3639" s="9"/>
      <c r="F3639" s="9"/>
      <c r="G3639" s="10"/>
      <c r="H3639" s="9"/>
      <c r="I3639" s="15"/>
      <c r="J3639" s="9"/>
      <c r="K3639" s="9"/>
      <c r="L3639" s="9"/>
      <c r="M3639" s="9"/>
      <c r="N3639" s="9"/>
      <c r="O3639" s="9"/>
      <c r="P3639" s="9"/>
      <c r="Q3639" s="9"/>
      <c r="R3639" s="9"/>
      <c r="S3639" s="9"/>
      <c r="T3639" s="9"/>
      <c r="U3639" s="9"/>
      <c r="V3639" s="9"/>
      <c r="W3639" s="9"/>
      <c r="X3639" s="9"/>
      <c r="Y3639" s="9"/>
      <c r="Z3639" s="9"/>
      <c r="AA3639" s="9"/>
    </row>
    <row r="3640">
      <c r="A3640" s="9"/>
      <c r="B3640" s="9"/>
      <c r="C3640" s="9"/>
      <c r="D3640" s="9"/>
      <c r="E3640" s="9"/>
      <c r="F3640" s="9"/>
      <c r="G3640" s="10"/>
      <c r="H3640" s="9"/>
      <c r="I3640" s="15"/>
      <c r="J3640" s="9"/>
      <c r="K3640" s="9"/>
      <c r="L3640" s="9"/>
      <c r="M3640" s="9"/>
      <c r="N3640" s="9"/>
      <c r="O3640" s="9"/>
      <c r="P3640" s="9"/>
      <c r="Q3640" s="9"/>
      <c r="R3640" s="9"/>
      <c r="S3640" s="9"/>
      <c r="T3640" s="9"/>
      <c r="U3640" s="9"/>
      <c r="V3640" s="9"/>
      <c r="W3640" s="9"/>
      <c r="X3640" s="9"/>
      <c r="Y3640" s="9"/>
      <c r="Z3640" s="9"/>
      <c r="AA3640" s="9"/>
    </row>
    <row r="3641">
      <c r="A3641" s="9"/>
      <c r="B3641" s="9"/>
      <c r="C3641" s="9"/>
      <c r="D3641" s="9"/>
      <c r="E3641" s="9"/>
      <c r="F3641" s="9"/>
      <c r="G3641" s="10"/>
      <c r="H3641" s="9"/>
      <c r="I3641" s="15"/>
      <c r="J3641" s="9"/>
      <c r="K3641" s="9"/>
      <c r="L3641" s="9"/>
      <c r="M3641" s="9"/>
      <c r="N3641" s="9"/>
      <c r="O3641" s="9"/>
      <c r="P3641" s="9"/>
      <c r="Q3641" s="9"/>
      <c r="R3641" s="9"/>
      <c r="S3641" s="9"/>
      <c r="T3641" s="9"/>
      <c r="U3641" s="9"/>
      <c r="V3641" s="9"/>
      <c r="W3641" s="9"/>
      <c r="X3641" s="9"/>
      <c r="Y3641" s="9"/>
      <c r="Z3641" s="9"/>
      <c r="AA3641" s="9"/>
    </row>
    <row r="3642">
      <c r="A3642" s="9"/>
      <c r="B3642" s="9"/>
      <c r="C3642" s="9"/>
      <c r="D3642" s="9"/>
      <c r="E3642" s="9"/>
      <c r="F3642" s="9"/>
      <c r="G3642" s="10"/>
      <c r="H3642" s="9"/>
      <c r="I3642" s="15"/>
      <c r="J3642" s="9"/>
      <c r="K3642" s="9"/>
      <c r="L3642" s="9"/>
      <c r="M3642" s="9"/>
      <c r="N3642" s="9"/>
      <c r="O3642" s="9"/>
      <c r="P3642" s="9"/>
      <c r="Q3642" s="9"/>
      <c r="R3642" s="9"/>
      <c r="S3642" s="9"/>
      <c r="T3642" s="9"/>
      <c r="U3642" s="9"/>
      <c r="V3642" s="9"/>
      <c r="W3642" s="9"/>
      <c r="X3642" s="9"/>
      <c r="Y3642" s="9"/>
      <c r="Z3642" s="9"/>
      <c r="AA3642" s="9"/>
    </row>
    <row r="3643">
      <c r="A3643" s="9"/>
      <c r="B3643" s="9"/>
      <c r="C3643" s="9"/>
      <c r="D3643" s="9"/>
      <c r="E3643" s="9"/>
      <c r="F3643" s="9"/>
      <c r="G3643" s="10"/>
      <c r="H3643" s="9"/>
      <c r="I3643" s="15"/>
      <c r="J3643" s="9"/>
      <c r="K3643" s="9"/>
      <c r="L3643" s="9"/>
      <c r="M3643" s="9"/>
      <c r="N3643" s="9"/>
      <c r="O3643" s="9"/>
      <c r="P3643" s="9"/>
      <c r="Q3643" s="9"/>
      <c r="R3643" s="9"/>
      <c r="S3643" s="9"/>
      <c r="T3643" s="9"/>
      <c r="U3643" s="9"/>
      <c r="V3643" s="9"/>
      <c r="W3643" s="9"/>
      <c r="X3643" s="9"/>
      <c r="Y3643" s="9"/>
      <c r="Z3643" s="9"/>
      <c r="AA3643" s="9"/>
    </row>
    <row r="3644">
      <c r="A3644" s="9"/>
      <c r="B3644" s="9"/>
      <c r="C3644" s="9"/>
      <c r="D3644" s="9"/>
      <c r="E3644" s="9"/>
      <c r="F3644" s="9"/>
      <c r="G3644" s="10"/>
      <c r="H3644" s="9"/>
      <c r="I3644" s="15"/>
      <c r="J3644" s="9"/>
      <c r="K3644" s="9"/>
      <c r="L3644" s="9"/>
      <c r="M3644" s="9"/>
      <c r="N3644" s="9"/>
      <c r="O3644" s="9"/>
      <c r="P3644" s="9"/>
      <c r="Q3644" s="9"/>
      <c r="R3644" s="9"/>
      <c r="S3644" s="9"/>
      <c r="T3644" s="9"/>
      <c r="U3644" s="9"/>
      <c r="V3644" s="9"/>
      <c r="W3644" s="9"/>
      <c r="X3644" s="9"/>
      <c r="Y3644" s="9"/>
      <c r="Z3644" s="9"/>
      <c r="AA3644" s="9"/>
    </row>
    <row r="3645">
      <c r="A3645" s="9"/>
      <c r="B3645" s="9"/>
      <c r="C3645" s="9"/>
      <c r="D3645" s="9"/>
      <c r="E3645" s="9"/>
      <c r="F3645" s="9"/>
      <c r="G3645" s="10"/>
      <c r="H3645" s="9"/>
      <c r="I3645" s="15"/>
      <c r="J3645" s="9"/>
      <c r="K3645" s="9"/>
      <c r="L3645" s="9"/>
      <c r="M3645" s="9"/>
      <c r="N3645" s="9"/>
      <c r="O3645" s="9"/>
      <c r="P3645" s="9"/>
      <c r="Q3645" s="9"/>
      <c r="R3645" s="9"/>
      <c r="S3645" s="9"/>
      <c r="T3645" s="9"/>
      <c r="U3645" s="9"/>
      <c r="V3645" s="9"/>
      <c r="W3645" s="9"/>
      <c r="X3645" s="9"/>
      <c r="Y3645" s="9"/>
      <c r="Z3645" s="9"/>
      <c r="AA3645" s="9"/>
    </row>
    <row r="3646">
      <c r="A3646" s="9"/>
      <c r="B3646" s="9"/>
      <c r="C3646" s="9"/>
      <c r="D3646" s="9"/>
      <c r="E3646" s="9"/>
      <c r="F3646" s="9"/>
      <c r="G3646" s="10"/>
      <c r="H3646" s="9"/>
      <c r="I3646" s="15"/>
      <c r="J3646" s="9"/>
      <c r="K3646" s="9"/>
      <c r="L3646" s="9"/>
      <c r="M3646" s="9"/>
      <c r="N3646" s="9"/>
      <c r="O3646" s="9"/>
      <c r="P3646" s="9"/>
      <c r="Q3646" s="9"/>
      <c r="R3646" s="9"/>
      <c r="S3646" s="9"/>
      <c r="T3646" s="9"/>
      <c r="U3646" s="9"/>
      <c r="V3646" s="9"/>
      <c r="W3646" s="9"/>
      <c r="X3646" s="9"/>
      <c r="Y3646" s="9"/>
      <c r="Z3646" s="9"/>
      <c r="AA3646" s="9"/>
    </row>
    <row r="3647">
      <c r="A3647" s="9"/>
      <c r="B3647" s="9"/>
      <c r="C3647" s="9"/>
      <c r="D3647" s="9"/>
      <c r="E3647" s="9"/>
      <c r="F3647" s="9"/>
      <c r="G3647" s="10"/>
      <c r="H3647" s="9"/>
      <c r="I3647" s="15"/>
      <c r="J3647" s="9"/>
      <c r="K3647" s="9"/>
      <c r="L3647" s="9"/>
      <c r="M3647" s="9"/>
      <c r="N3647" s="9"/>
      <c r="O3647" s="9"/>
      <c r="P3647" s="9"/>
      <c r="Q3647" s="9"/>
      <c r="R3647" s="9"/>
      <c r="S3647" s="9"/>
      <c r="T3647" s="9"/>
      <c r="U3647" s="9"/>
      <c r="V3647" s="9"/>
      <c r="W3647" s="9"/>
      <c r="X3647" s="9"/>
      <c r="Y3647" s="9"/>
      <c r="Z3647" s="9"/>
      <c r="AA3647" s="9"/>
    </row>
    <row r="3648">
      <c r="A3648" s="9"/>
      <c r="B3648" s="9"/>
      <c r="C3648" s="9"/>
      <c r="D3648" s="9"/>
      <c r="E3648" s="9"/>
      <c r="F3648" s="9"/>
      <c r="G3648" s="10"/>
      <c r="H3648" s="9"/>
      <c r="I3648" s="15"/>
      <c r="J3648" s="9"/>
      <c r="K3648" s="9"/>
      <c r="L3648" s="9"/>
      <c r="M3648" s="9"/>
      <c r="N3648" s="9"/>
      <c r="O3648" s="9"/>
      <c r="P3648" s="9"/>
      <c r="Q3648" s="9"/>
      <c r="R3648" s="9"/>
      <c r="S3648" s="9"/>
      <c r="T3648" s="9"/>
      <c r="U3648" s="9"/>
      <c r="V3648" s="9"/>
      <c r="W3648" s="9"/>
      <c r="X3648" s="9"/>
      <c r="Y3648" s="9"/>
      <c r="Z3648" s="9"/>
      <c r="AA3648" s="9"/>
    </row>
    <row r="3649">
      <c r="A3649" s="9"/>
      <c r="B3649" s="9"/>
      <c r="C3649" s="9"/>
      <c r="D3649" s="9"/>
      <c r="E3649" s="9"/>
      <c r="F3649" s="9"/>
      <c r="G3649" s="10"/>
      <c r="H3649" s="9"/>
      <c r="I3649" s="15"/>
      <c r="J3649" s="9"/>
      <c r="K3649" s="9"/>
      <c r="L3649" s="9"/>
      <c r="M3649" s="9"/>
      <c r="N3649" s="9"/>
      <c r="O3649" s="9"/>
      <c r="P3649" s="9"/>
      <c r="Q3649" s="9"/>
      <c r="R3649" s="9"/>
      <c r="S3649" s="9"/>
      <c r="T3649" s="9"/>
      <c r="U3649" s="9"/>
      <c r="V3649" s="9"/>
      <c r="W3649" s="9"/>
      <c r="X3649" s="9"/>
      <c r="Y3649" s="9"/>
      <c r="Z3649" s="9"/>
      <c r="AA3649" s="9"/>
    </row>
    <row r="3650">
      <c r="A3650" s="9"/>
      <c r="B3650" s="9"/>
      <c r="C3650" s="9"/>
      <c r="D3650" s="9"/>
      <c r="E3650" s="9"/>
      <c r="F3650" s="9"/>
      <c r="G3650" s="10"/>
      <c r="H3650" s="9"/>
      <c r="I3650" s="15"/>
      <c r="J3650" s="9"/>
      <c r="K3650" s="9"/>
      <c r="L3650" s="9"/>
      <c r="M3650" s="9"/>
      <c r="N3650" s="9"/>
      <c r="O3650" s="9"/>
      <c r="P3650" s="9"/>
      <c r="Q3650" s="9"/>
      <c r="R3650" s="9"/>
      <c r="S3650" s="9"/>
      <c r="T3650" s="9"/>
      <c r="U3650" s="9"/>
      <c r="V3650" s="9"/>
      <c r="W3650" s="9"/>
      <c r="X3650" s="9"/>
      <c r="Y3650" s="9"/>
      <c r="Z3650" s="9"/>
      <c r="AA3650" s="9"/>
    </row>
    <row r="3651">
      <c r="A3651" s="9"/>
      <c r="B3651" s="9"/>
      <c r="C3651" s="9"/>
      <c r="D3651" s="9"/>
      <c r="E3651" s="9"/>
      <c r="F3651" s="9"/>
      <c r="G3651" s="10"/>
      <c r="H3651" s="9"/>
      <c r="I3651" s="15"/>
      <c r="J3651" s="9"/>
      <c r="K3651" s="9"/>
      <c r="L3651" s="9"/>
      <c r="M3651" s="9"/>
      <c r="N3651" s="9"/>
      <c r="O3651" s="9"/>
      <c r="P3651" s="9"/>
      <c r="Q3651" s="9"/>
      <c r="R3651" s="9"/>
      <c r="S3651" s="9"/>
      <c r="T3651" s="9"/>
      <c r="U3651" s="9"/>
      <c r="V3651" s="9"/>
      <c r="W3651" s="9"/>
      <c r="X3651" s="9"/>
      <c r="Y3651" s="9"/>
      <c r="Z3651" s="9"/>
      <c r="AA3651" s="9"/>
    </row>
    <row r="3652">
      <c r="A3652" s="9"/>
      <c r="B3652" s="9"/>
      <c r="C3652" s="9"/>
      <c r="D3652" s="9"/>
      <c r="E3652" s="9"/>
      <c r="F3652" s="9"/>
      <c r="G3652" s="10"/>
      <c r="H3652" s="9"/>
      <c r="I3652" s="15"/>
      <c r="J3652" s="9"/>
      <c r="K3652" s="9"/>
      <c r="L3652" s="9"/>
      <c r="M3652" s="9"/>
      <c r="N3652" s="9"/>
      <c r="O3652" s="9"/>
      <c r="P3652" s="9"/>
      <c r="Q3652" s="9"/>
      <c r="R3652" s="9"/>
      <c r="S3652" s="9"/>
      <c r="T3652" s="9"/>
      <c r="U3652" s="9"/>
      <c r="V3652" s="9"/>
      <c r="W3652" s="9"/>
      <c r="X3652" s="9"/>
      <c r="Y3652" s="9"/>
      <c r="Z3652" s="9"/>
      <c r="AA3652" s="9"/>
    </row>
    <row r="3653">
      <c r="A3653" s="9"/>
      <c r="B3653" s="9"/>
      <c r="C3653" s="9"/>
      <c r="D3653" s="9"/>
      <c r="E3653" s="9"/>
      <c r="F3653" s="9"/>
      <c r="G3653" s="10"/>
      <c r="H3653" s="9"/>
      <c r="I3653" s="15"/>
      <c r="J3653" s="9"/>
      <c r="K3653" s="9"/>
      <c r="L3653" s="9"/>
      <c r="M3653" s="9"/>
      <c r="N3653" s="9"/>
      <c r="O3653" s="9"/>
      <c r="P3653" s="9"/>
      <c r="Q3653" s="9"/>
      <c r="R3653" s="9"/>
      <c r="S3653" s="9"/>
      <c r="T3653" s="9"/>
      <c r="U3653" s="9"/>
      <c r="V3653" s="9"/>
      <c r="W3653" s="9"/>
      <c r="X3653" s="9"/>
      <c r="Y3653" s="9"/>
      <c r="Z3653" s="9"/>
      <c r="AA3653" s="9"/>
    </row>
    <row r="3654">
      <c r="A3654" s="9"/>
      <c r="B3654" s="9"/>
      <c r="C3654" s="9"/>
      <c r="D3654" s="9"/>
      <c r="E3654" s="9"/>
      <c r="F3654" s="9"/>
      <c r="G3654" s="10"/>
      <c r="H3654" s="9"/>
      <c r="I3654" s="15"/>
      <c r="J3654" s="9"/>
      <c r="K3654" s="9"/>
      <c r="L3654" s="9"/>
      <c r="M3654" s="9"/>
      <c r="N3654" s="9"/>
      <c r="O3654" s="9"/>
      <c r="P3654" s="9"/>
      <c r="Q3654" s="9"/>
      <c r="R3654" s="9"/>
      <c r="S3654" s="9"/>
      <c r="T3654" s="9"/>
      <c r="U3654" s="9"/>
      <c r="V3654" s="9"/>
      <c r="W3654" s="9"/>
      <c r="X3654" s="9"/>
      <c r="Y3654" s="9"/>
      <c r="Z3654" s="9"/>
      <c r="AA3654" s="9"/>
    </row>
    <row r="3655">
      <c r="A3655" s="9"/>
      <c r="B3655" s="9"/>
      <c r="C3655" s="9"/>
      <c r="D3655" s="9"/>
      <c r="E3655" s="9"/>
      <c r="F3655" s="9"/>
      <c r="G3655" s="10"/>
      <c r="H3655" s="9"/>
      <c r="I3655" s="15"/>
      <c r="J3655" s="9"/>
      <c r="K3655" s="9"/>
      <c r="L3655" s="9"/>
      <c r="M3655" s="9"/>
      <c r="N3655" s="9"/>
      <c r="O3655" s="9"/>
      <c r="P3655" s="9"/>
      <c r="Q3655" s="9"/>
      <c r="R3655" s="9"/>
      <c r="S3655" s="9"/>
      <c r="T3655" s="9"/>
      <c r="U3655" s="9"/>
      <c r="V3655" s="9"/>
      <c r="W3655" s="9"/>
      <c r="X3655" s="9"/>
      <c r="Y3655" s="9"/>
      <c r="Z3655" s="9"/>
      <c r="AA3655" s="9"/>
    </row>
    <row r="3656">
      <c r="A3656" s="9"/>
      <c r="B3656" s="9"/>
      <c r="C3656" s="9"/>
      <c r="D3656" s="9"/>
      <c r="E3656" s="9"/>
      <c r="F3656" s="9"/>
      <c r="G3656" s="10"/>
      <c r="H3656" s="9"/>
      <c r="I3656" s="15"/>
      <c r="J3656" s="9"/>
      <c r="K3656" s="9"/>
      <c r="L3656" s="9"/>
      <c r="M3656" s="9"/>
      <c r="N3656" s="9"/>
      <c r="O3656" s="9"/>
      <c r="P3656" s="9"/>
      <c r="Q3656" s="9"/>
      <c r="R3656" s="9"/>
      <c r="S3656" s="9"/>
      <c r="T3656" s="9"/>
      <c r="U3656" s="9"/>
      <c r="V3656" s="9"/>
      <c r="W3656" s="9"/>
      <c r="X3656" s="9"/>
      <c r="Y3656" s="9"/>
      <c r="Z3656" s="9"/>
      <c r="AA3656" s="9"/>
    </row>
    <row r="3657">
      <c r="A3657" s="9"/>
      <c r="B3657" s="9"/>
      <c r="C3657" s="9"/>
      <c r="D3657" s="9"/>
      <c r="E3657" s="9"/>
      <c r="F3657" s="9"/>
      <c r="G3657" s="10"/>
      <c r="H3657" s="9"/>
      <c r="I3657" s="15"/>
      <c r="J3657" s="9"/>
      <c r="K3657" s="9"/>
      <c r="L3657" s="9"/>
      <c r="M3657" s="9"/>
      <c r="N3657" s="9"/>
      <c r="O3657" s="9"/>
      <c r="P3657" s="9"/>
      <c r="Q3657" s="9"/>
      <c r="R3657" s="9"/>
      <c r="S3657" s="9"/>
      <c r="T3657" s="9"/>
      <c r="U3657" s="9"/>
      <c r="V3657" s="9"/>
      <c r="W3657" s="9"/>
      <c r="X3657" s="9"/>
      <c r="Y3657" s="9"/>
      <c r="Z3657" s="9"/>
      <c r="AA3657" s="9"/>
    </row>
    <row r="3658">
      <c r="A3658" s="9"/>
      <c r="B3658" s="9"/>
      <c r="C3658" s="9"/>
      <c r="D3658" s="9"/>
      <c r="E3658" s="9"/>
      <c r="F3658" s="9"/>
      <c r="G3658" s="10"/>
      <c r="H3658" s="9"/>
      <c r="I3658" s="15"/>
      <c r="J3658" s="9"/>
      <c r="K3658" s="9"/>
      <c r="L3658" s="9"/>
      <c r="M3658" s="9"/>
      <c r="N3658" s="9"/>
      <c r="O3658" s="9"/>
      <c r="P3658" s="9"/>
      <c r="Q3658" s="9"/>
      <c r="R3658" s="9"/>
      <c r="S3658" s="9"/>
      <c r="T3658" s="9"/>
      <c r="U3658" s="9"/>
      <c r="V3658" s="9"/>
      <c r="W3658" s="9"/>
      <c r="X3658" s="9"/>
      <c r="Y3658" s="9"/>
      <c r="Z3658" s="9"/>
      <c r="AA3658" s="9"/>
    </row>
    <row r="3659">
      <c r="A3659" s="9"/>
      <c r="B3659" s="9"/>
      <c r="C3659" s="9"/>
      <c r="D3659" s="9"/>
      <c r="E3659" s="9"/>
      <c r="F3659" s="9"/>
      <c r="G3659" s="10"/>
      <c r="H3659" s="9"/>
      <c r="I3659" s="15"/>
      <c r="J3659" s="9"/>
      <c r="K3659" s="9"/>
      <c r="L3659" s="9"/>
      <c r="M3659" s="9"/>
      <c r="N3659" s="9"/>
      <c r="O3659" s="9"/>
      <c r="P3659" s="9"/>
      <c r="Q3659" s="9"/>
      <c r="R3659" s="9"/>
      <c r="S3659" s="9"/>
      <c r="T3659" s="9"/>
      <c r="U3659" s="9"/>
      <c r="V3659" s="9"/>
      <c r="W3659" s="9"/>
      <c r="X3659" s="9"/>
      <c r="Y3659" s="9"/>
      <c r="Z3659" s="9"/>
      <c r="AA3659" s="9"/>
    </row>
    <row r="3660">
      <c r="A3660" s="9"/>
      <c r="B3660" s="9"/>
      <c r="C3660" s="9"/>
      <c r="D3660" s="9"/>
      <c r="E3660" s="9"/>
      <c r="F3660" s="9"/>
      <c r="G3660" s="10"/>
      <c r="H3660" s="9"/>
      <c r="I3660" s="15"/>
      <c r="J3660" s="9"/>
      <c r="K3660" s="9"/>
      <c r="L3660" s="9"/>
      <c r="M3660" s="9"/>
      <c r="N3660" s="9"/>
      <c r="O3660" s="9"/>
      <c r="P3660" s="9"/>
      <c r="Q3660" s="9"/>
      <c r="R3660" s="9"/>
      <c r="S3660" s="9"/>
      <c r="T3660" s="9"/>
      <c r="U3660" s="9"/>
      <c r="V3660" s="9"/>
      <c r="W3660" s="9"/>
      <c r="X3660" s="9"/>
      <c r="Y3660" s="9"/>
      <c r="Z3660" s="9"/>
      <c r="AA3660" s="9"/>
    </row>
    <row r="3661">
      <c r="A3661" s="9"/>
      <c r="B3661" s="9"/>
      <c r="C3661" s="9"/>
      <c r="D3661" s="9"/>
      <c r="E3661" s="9"/>
      <c r="F3661" s="9"/>
      <c r="G3661" s="10"/>
      <c r="H3661" s="9"/>
      <c r="I3661" s="15"/>
      <c r="J3661" s="9"/>
      <c r="K3661" s="9"/>
      <c r="L3661" s="9"/>
      <c r="M3661" s="9"/>
      <c r="N3661" s="9"/>
      <c r="O3661" s="9"/>
      <c r="P3661" s="9"/>
      <c r="Q3661" s="9"/>
      <c r="R3661" s="9"/>
      <c r="S3661" s="9"/>
      <c r="T3661" s="9"/>
      <c r="U3661" s="9"/>
      <c r="V3661" s="9"/>
      <c r="W3661" s="9"/>
      <c r="X3661" s="9"/>
      <c r="Y3661" s="9"/>
      <c r="Z3661" s="9"/>
      <c r="AA3661" s="9"/>
    </row>
    <row r="3662">
      <c r="A3662" s="9"/>
      <c r="B3662" s="9"/>
      <c r="C3662" s="9"/>
      <c r="D3662" s="9"/>
      <c r="E3662" s="9"/>
      <c r="F3662" s="9"/>
      <c r="G3662" s="10"/>
      <c r="H3662" s="9"/>
      <c r="I3662" s="15"/>
      <c r="J3662" s="9"/>
      <c r="K3662" s="9"/>
      <c r="L3662" s="9"/>
      <c r="M3662" s="9"/>
      <c r="N3662" s="9"/>
      <c r="O3662" s="9"/>
      <c r="P3662" s="9"/>
      <c r="Q3662" s="9"/>
      <c r="R3662" s="9"/>
      <c r="S3662" s="9"/>
      <c r="T3662" s="9"/>
      <c r="U3662" s="9"/>
      <c r="V3662" s="9"/>
      <c r="W3662" s="9"/>
      <c r="X3662" s="9"/>
      <c r="Y3662" s="9"/>
      <c r="Z3662" s="9"/>
      <c r="AA3662" s="9"/>
    </row>
    <row r="3663">
      <c r="A3663" s="9"/>
      <c r="B3663" s="9"/>
      <c r="C3663" s="9"/>
      <c r="D3663" s="9"/>
      <c r="E3663" s="9"/>
      <c r="F3663" s="9"/>
      <c r="G3663" s="10"/>
      <c r="H3663" s="9"/>
      <c r="I3663" s="15"/>
      <c r="J3663" s="9"/>
      <c r="K3663" s="9"/>
      <c r="L3663" s="9"/>
      <c r="M3663" s="9"/>
      <c r="N3663" s="9"/>
      <c r="O3663" s="9"/>
      <c r="P3663" s="9"/>
      <c r="Q3663" s="9"/>
      <c r="R3663" s="9"/>
      <c r="S3663" s="9"/>
      <c r="T3663" s="9"/>
      <c r="U3663" s="9"/>
      <c r="V3663" s="9"/>
      <c r="W3663" s="9"/>
      <c r="X3663" s="9"/>
      <c r="Y3663" s="9"/>
      <c r="Z3663" s="9"/>
      <c r="AA3663" s="9"/>
    </row>
    <row r="3664">
      <c r="A3664" s="9"/>
      <c r="B3664" s="9"/>
      <c r="C3664" s="9"/>
      <c r="D3664" s="9"/>
      <c r="E3664" s="9"/>
      <c r="F3664" s="9"/>
      <c r="G3664" s="10"/>
      <c r="H3664" s="9"/>
      <c r="I3664" s="15"/>
      <c r="J3664" s="9"/>
      <c r="K3664" s="9"/>
      <c r="L3664" s="9"/>
      <c r="M3664" s="9"/>
      <c r="N3664" s="9"/>
      <c r="O3664" s="9"/>
      <c r="P3664" s="9"/>
      <c r="Q3664" s="9"/>
      <c r="R3664" s="9"/>
      <c r="S3664" s="9"/>
      <c r="T3664" s="9"/>
      <c r="U3664" s="9"/>
      <c r="V3664" s="9"/>
      <c r="W3664" s="9"/>
      <c r="X3664" s="9"/>
      <c r="Y3664" s="9"/>
      <c r="Z3664" s="9"/>
      <c r="AA3664" s="9"/>
    </row>
    <row r="3665">
      <c r="A3665" s="9"/>
      <c r="B3665" s="9"/>
      <c r="C3665" s="9"/>
      <c r="D3665" s="9"/>
      <c r="E3665" s="9"/>
      <c r="F3665" s="9"/>
      <c r="G3665" s="10"/>
      <c r="H3665" s="9"/>
      <c r="I3665" s="15"/>
      <c r="J3665" s="9"/>
      <c r="K3665" s="9"/>
      <c r="L3665" s="9"/>
      <c r="M3665" s="9"/>
      <c r="N3665" s="9"/>
      <c r="O3665" s="9"/>
      <c r="P3665" s="9"/>
      <c r="Q3665" s="9"/>
      <c r="R3665" s="9"/>
      <c r="S3665" s="9"/>
      <c r="T3665" s="9"/>
      <c r="U3665" s="9"/>
      <c r="V3665" s="9"/>
      <c r="W3665" s="9"/>
      <c r="X3665" s="9"/>
      <c r="Y3665" s="9"/>
      <c r="Z3665" s="9"/>
      <c r="AA3665" s="9"/>
    </row>
    <row r="3666">
      <c r="A3666" s="9"/>
      <c r="B3666" s="9"/>
      <c r="C3666" s="9"/>
      <c r="D3666" s="9"/>
      <c r="E3666" s="9"/>
      <c r="F3666" s="9"/>
      <c r="G3666" s="10"/>
      <c r="H3666" s="9"/>
      <c r="I3666" s="15"/>
      <c r="J3666" s="9"/>
      <c r="K3666" s="9"/>
      <c r="L3666" s="9"/>
      <c r="M3666" s="9"/>
      <c r="N3666" s="9"/>
      <c r="O3666" s="9"/>
      <c r="P3666" s="9"/>
      <c r="Q3666" s="9"/>
      <c r="R3666" s="9"/>
      <c r="S3666" s="9"/>
      <c r="T3666" s="9"/>
      <c r="U3666" s="9"/>
      <c r="V3666" s="9"/>
      <c r="W3666" s="9"/>
      <c r="X3666" s="9"/>
      <c r="Y3666" s="9"/>
      <c r="Z3666" s="9"/>
      <c r="AA3666" s="9"/>
    </row>
    <row r="3667">
      <c r="A3667" s="9"/>
      <c r="B3667" s="9"/>
      <c r="C3667" s="9"/>
      <c r="D3667" s="9"/>
      <c r="E3667" s="9"/>
      <c r="F3667" s="9"/>
      <c r="G3667" s="10"/>
      <c r="H3667" s="9"/>
      <c r="I3667" s="15"/>
      <c r="J3667" s="9"/>
      <c r="K3667" s="9"/>
      <c r="L3667" s="9"/>
      <c r="M3667" s="9"/>
      <c r="N3667" s="9"/>
      <c r="O3667" s="9"/>
      <c r="P3667" s="9"/>
      <c r="Q3667" s="9"/>
      <c r="R3667" s="9"/>
      <c r="S3667" s="9"/>
      <c r="T3667" s="9"/>
      <c r="U3667" s="9"/>
      <c r="V3667" s="9"/>
      <c r="W3667" s="9"/>
      <c r="X3667" s="9"/>
      <c r="Y3667" s="9"/>
      <c r="Z3667" s="9"/>
      <c r="AA3667" s="9"/>
    </row>
    <row r="3668">
      <c r="A3668" s="9"/>
      <c r="B3668" s="9"/>
      <c r="C3668" s="9"/>
      <c r="D3668" s="9"/>
      <c r="E3668" s="9"/>
      <c r="F3668" s="9"/>
      <c r="G3668" s="10"/>
      <c r="H3668" s="9"/>
      <c r="I3668" s="15"/>
      <c r="J3668" s="9"/>
      <c r="K3668" s="9"/>
      <c r="L3668" s="9"/>
      <c r="M3668" s="9"/>
      <c r="N3668" s="9"/>
      <c r="O3668" s="9"/>
      <c r="P3668" s="9"/>
      <c r="Q3668" s="9"/>
      <c r="R3668" s="9"/>
      <c r="S3668" s="9"/>
      <c r="T3668" s="9"/>
      <c r="U3668" s="9"/>
      <c r="V3668" s="9"/>
      <c r="W3668" s="9"/>
      <c r="X3668" s="9"/>
      <c r="Y3668" s="9"/>
      <c r="Z3668" s="9"/>
      <c r="AA3668" s="9"/>
    </row>
    <row r="3669">
      <c r="A3669" s="9"/>
      <c r="B3669" s="9"/>
      <c r="C3669" s="9"/>
      <c r="D3669" s="9"/>
      <c r="E3669" s="9"/>
      <c r="F3669" s="9"/>
      <c r="G3669" s="10"/>
      <c r="H3669" s="9"/>
      <c r="I3669" s="15"/>
      <c r="J3669" s="9"/>
      <c r="K3669" s="9"/>
      <c r="L3669" s="9"/>
      <c r="M3669" s="9"/>
      <c r="N3669" s="9"/>
      <c r="O3669" s="9"/>
      <c r="P3669" s="9"/>
      <c r="Q3669" s="9"/>
      <c r="R3669" s="9"/>
      <c r="S3669" s="9"/>
      <c r="T3669" s="9"/>
      <c r="U3669" s="9"/>
      <c r="V3669" s="9"/>
      <c r="W3669" s="9"/>
      <c r="X3669" s="9"/>
      <c r="Y3669" s="9"/>
      <c r="Z3669" s="9"/>
      <c r="AA3669" s="9"/>
    </row>
    <row r="3670">
      <c r="A3670" s="9"/>
      <c r="B3670" s="9"/>
      <c r="C3670" s="9"/>
      <c r="D3670" s="9"/>
      <c r="E3670" s="9"/>
      <c r="F3670" s="9"/>
      <c r="G3670" s="10"/>
      <c r="H3670" s="9"/>
      <c r="I3670" s="15"/>
      <c r="J3670" s="9"/>
      <c r="K3670" s="9"/>
      <c r="L3670" s="9"/>
      <c r="M3670" s="9"/>
      <c r="N3670" s="9"/>
      <c r="O3670" s="9"/>
      <c r="P3670" s="9"/>
      <c r="Q3670" s="9"/>
      <c r="R3670" s="9"/>
      <c r="S3670" s="9"/>
      <c r="T3670" s="9"/>
      <c r="U3670" s="9"/>
      <c r="V3670" s="9"/>
      <c r="W3670" s="9"/>
      <c r="X3670" s="9"/>
      <c r="Y3670" s="9"/>
      <c r="Z3670" s="9"/>
      <c r="AA3670" s="9"/>
    </row>
    <row r="3671">
      <c r="A3671" s="9"/>
      <c r="B3671" s="9"/>
      <c r="C3671" s="9"/>
      <c r="D3671" s="9"/>
      <c r="E3671" s="9"/>
      <c r="F3671" s="9"/>
      <c r="G3671" s="10"/>
      <c r="H3671" s="9"/>
      <c r="I3671" s="15"/>
      <c r="J3671" s="9"/>
      <c r="K3671" s="9"/>
      <c r="L3671" s="9"/>
      <c r="M3671" s="9"/>
      <c r="N3671" s="9"/>
      <c r="O3671" s="9"/>
      <c r="P3671" s="9"/>
      <c r="Q3671" s="9"/>
      <c r="R3671" s="9"/>
      <c r="S3671" s="9"/>
      <c r="T3671" s="9"/>
      <c r="U3671" s="9"/>
      <c r="V3671" s="9"/>
      <c r="W3671" s="9"/>
      <c r="X3671" s="9"/>
      <c r="Y3671" s="9"/>
      <c r="Z3671" s="9"/>
      <c r="AA3671" s="9"/>
    </row>
    <row r="3672">
      <c r="A3672" s="9"/>
      <c r="B3672" s="9"/>
      <c r="C3672" s="9"/>
      <c r="D3672" s="9"/>
      <c r="E3672" s="9"/>
      <c r="F3672" s="9"/>
      <c r="G3672" s="10"/>
      <c r="H3672" s="9"/>
      <c r="I3672" s="15"/>
      <c r="J3672" s="9"/>
      <c r="K3672" s="9"/>
      <c r="L3672" s="9"/>
      <c r="M3672" s="9"/>
      <c r="N3672" s="9"/>
      <c r="O3672" s="9"/>
      <c r="P3672" s="9"/>
      <c r="Q3672" s="9"/>
      <c r="R3672" s="9"/>
      <c r="S3672" s="9"/>
      <c r="T3672" s="9"/>
      <c r="U3672" s="9"/>
      <c r="V3672" s="9"/>
      <c r="W3672" s="9"/>
      <c r="X3672" s="9"/>
      <c r="Y3672" s="9"/>
      <c r="Z3672" s="9"/>
      <c r="AA3672" s="9"/>
    </row>
    <row r="3673">
      <c r="A3673" s="9"/>
      <c r="B3673" s="9"/>
      <c r="C3673" s="9"/>
      <c r="D3673" s="9"/>
      <c r="E3673" s="9"/>
      <c r="F3673" s="9"/>
      <c r="G3673" s="10"/>
      <c r="H3673" s="9"/>
      <c r="I3673" s="15"/>
      <c r="J3673" s="9"/>
      <c r="K3673" s="9"/>
      <c r="L3673" s="9"/>
      <c r="M3673" s="9"/>
      <c r="N3673" s="9"/>
      <c r="O3673" s="9"/>
      <c r="P3673" s="9"/>
      <c r="Q3673" s="9"/>
      <c r="R3673" s="9"/>
      <c r="S3673" s="9"/>
      <c r="T3673" s="9"/>
      <c r="U3673" s="9"/>
      <c r="V3673" s="9"/>
      <c r="W3673" s="9"/>
      <c r="X3673" s="9"/>
      <c r="Y3673" s="9"/>
      <c r="Z3673" s="9"/>
      <c r="AA3673" s="9"/>
    </row>
    <row r="3674">
      <c r="A3674" s="9"/>
      <c r="B3674" s="9"/>
      <c r="C3674" s="9"/>
      <c r="D3674" s="9"/>
      <c r="E3674" s="9"/>
      <c r="F3674" s="9"/>
      <c r="G3674" s="10"/>
      <c r="H3674" s="9"/>
      <c r="I3674" s="15"/>
      <c r="J3674" s="9"/>
      <c r="K3674" s="9"/>
      <c r="L3674" s="9"/>
      <c r="M3674" s="9"/>
      <c r="N3674" s="9"/>
      <c r="O3674" s="9"/>
      <c r="P3674" s="9"/>
      <c r="Q3674" s="9"/>
      <c r="R3674" s="9"/>
      <c r="S3674" s="9"/>
      <c r="T3674" s="9"/>
      <c r="U3674" s="9"/>
      <c r="V3674" s="9"/>
      <c r="W3674" s="9"/>
      <c r="X3674" s="9"/>
      <c r="Y3674" s="9"/>
      <c r="Z3674" s="9"/>
      <c r="AA3674" s="9"/>
    </row>
    <row r="3675">
      <c r="A3675" s="9"/>
      <c r="B3675" s="9"/>
      <c r="C3675" s="9"/>
      <c r="D3675" s="9"/>
      <c r="E3675" s="9"/>
      <c r="F3675" s="9"/>
      <c r="G3675" s="10"/>
      <c r="H3675" s="9"/>
      <c r="I3675" s="15"/>
      <c r="J3675" s="9"/>
      <c r="K3675" s="9"/>
      <c r="L3675" s="9"/>
      <c r="M3675" s="9"/>
      <c r="N3675" s="9"/>
      <c r="O3675" s="9"/>
      <c r="P3675" s="9"/>
      <c r="Q3675" s="9"/>
      <c r="R3675" s="9"/>
      <c r="S3675" s="9"/>
      <c r="T3675" s="9"/>
      <c r="U3675" s="9"/>
      <c r="V3675" s="9"/>
      <c r="W3675" s="9"/>
      <c r="X3675" s="9"/>
      <c r="Y3675" s="9"/>
      <c r="Z3675" s="9"/>
      <c r="AA3675" s="9"/>
    </row>
    <row r="3676">
      <c r="A3676" s="9"/>
      <c r="B3676" s="9"/>
      <c r="C3676" s="9"/>
      <c r="D3676" s="9"/>
      <c r="E3676" s="9"/>
      <c r="F3676" s="9"/>
      <c r="G3676" s="10"/>
      <c r="H3676" s="9"/>
      <c r="I3676" s="15"/>
      <c r="J3676" s="9"/>
      <c r="K3676" s="9"/>
      <c r="L3676" s="9"/>
      <c r="M3676" s="9"/>
      <c r="N3676" s="9"/>
      <c r="O3676" s="9"/>
      <c r="P3676" s="9"/>
      <c r="Q3676" s="9"/>
      <c r="R3676" s="9"/>
      <c r="S3676" s="9"/>
      <c r="T3676" s="9"/>
      <c r="U3676" s="9"/>
      <c r="V3676" s="9"/>
      <c r="W3676" s="9"/>
      <c r="X3676" s="9"/>
      <c r="Y3676" s="9"/>
      <c r="Z3676" s="9"/>
      <c r="AA3676" s="9"/>
    </row>
    <row r="3677">
      <c r="A3677" s="9"/>
      <c r="B3677" s="9"/>
      <c r="C3677" s="9"/>
      <c r="D3677" s="9"/>
      <c r="E3677" s="9"/>
      <c r="F3677" s="9"/>
      <c r="G3677" s="10"/>
      <c r="H3677" s="9"/>
      <c r="I3677" s="15"/>
      <c r="J3677" s="9"/>
      <c r="K3677" s="9"/>
      <c r="L3677" s="9"/>
      <c r="M3677" s="9"/>
      <c r="N3677" s="9"/>
      <c r="O3677" s="9"/>
      <c r="P3677" s="9"/>
      <c r="Q3677" s="9"/>
      <c r="R3677" s="9"/>
      <c r="S3677" s="9"/>
      <c r="T3677" s="9"/>
      <c r="U3677" s="9"/>
      <c r="V3677" s="9"/>
      <c r="W3677" s="9"/>
      <c r="X3677" s="9"/>
      <c r="Y3677" s="9"/>
      <c r="Z3677" s="9"/>
      <c r="AA3677" s="9"/>
    </row>
    <row r="3678">
      <c r="A3678" s="9"/>
      <c r="B3678" s="9"/>
      <c r="C3678" s="9"/>
      <c r="D3678" s="9"/>
      <c r="E3678" s="9"/>
      <c r="F3678" s="9"/>
      <c r="G3678" s="10"/>
      <c r="H3678" s="9"/>
      <c r="I3678" s="15"/>
      <c r="J3678" s="9"/>
      <c r="K3678" s="9"/>
      <c r="L3678" s="9"/>
      <c r="M3678" s="9"/>
      <c r="N3678" s="9"/>
      <c r="O3678" s="9"/>
      <c r="P3678" s="9"/>
      <c r="Q3678" s="9"/>
      <c r="R3678" s="9"/>
      <c r="S3678" s="9"/>
      <c r="T3678" s="9"/>
      <c r="U3678" s="9"/>
      <c r="V3678" s="9"/>
      <c r="W3678" s="9"/>
      <c r="X3678" s="9"/>
      <c r="Y3678" s="9"/>
      <c r="Z3678" s="9"/>
      <c r="AA3678" s="9"/>
    </row>
    <row r="3679">
      <c r="A3679" s="9"/>
      <c r="B3679" s="9"/>
      <c r="C3679" s="9"/>
      <c r="D3679" s="9"/>
      <c r="E3679" s="9"/>
      <c r="F3679" s="9"/>
      <c r="G3679" s="10"/>
      <c r="H3679" s="9"/>
      <c r="I3679" s="15"/>
      <c r="J3679" s="9"/>
      <c r="K3679" s="9"/>
      <c r="L3679" s="9"/>
      <c r="M3679" s="9"/>
      <c r="N3679" s="9"/>
      <c r="O3679" s="9"/>
      <c r="P3679" s="9"/>
      <c r="Q3679" s="9"/>
      <c r="R3679" s="9"/>
      <c r="S3679" s="9"/>
      <c r="T3679" s="9"/>
      <c r="U3679" s="9"/>
      <c r="V3679" s="9"/>
      <c r="W3679" s="9"/>
      <c r="X3679" s="9"/>
      <c r="Y3679" s="9"/>
      <c r="Z3679" s="9"/>
      <c r="AA3679" s="9"/>
    </row>
    <row r="3680">
      <c r="A3680" s="9"/>
      <c r="B3680" s="9"/>
      <c r="C3680" s="9"/>
      <c r="D3680" s="9"/>
      <c r="E3680" s="9"/>
      <c r="F3680" s="9"/>
      <c r="G3680" s="10"/>
      <c r="H3680" s="9"/>
      <c r="I3680" s="15"/>
      <c r="J3680" s="9"/>
      <c r="K3680" s="9"/>
      <c r="L3680" s="9"/>
      <c r="M3680" s="9"/>
      <c r="N3680" s="9"/>
      <c r="O3680" s="9"/>
      <c r="P3680" s="9"/>
      <c r="Q3680" s="9"/>
      <c r="R3680" s="9"/>
      <c r="S3680" s="9"/>
      <c r="T3680" s="9"/>
      <c r="U3680" s="9"/>
      <c r="V3680" s="9"/>
      <c r="W3680" s="9"/>
      <c r="X3680" s="9"/>
      <c r="Y3680" s="9"/>
      <c r="Z3680" s="9"/>
      <c r="AA3680" s="9"/>
    </row>
    <row r="3681">
      <c r="A3681" s="9"/>
      <c r="B3681" s="9"/>
      <c r="C3681" s="9"/>
      <c r="D3681" s="9"/>
      <c r="E3681" s="9"/>
      <c r="F3681" s="9"/>
      <c r="G3681" s="10"/>
      <c r="H3681" s="9"/>
      <c r="I3681" s="15"/>
      <c r="J3681" s="9"/>
      <c r="K3681" s="9"/>
      <c r="L3681" s="9"/>
      <c r="M3681" s="9"/>
      <c r="N3681" s="9"/>
      <c r="O3681" s="9"/>
      <c r="P3681" s="9"/>
      <c r="Q3681" s="9"/>
      <c r="R3681" s="9"/>
      <c r="S3681" s="9"/>
      <c r="T3681" s="9"/>
      <c r="U3681" s="9"/>
      <c r="V3681" s="9"/>
      <c r="W3681" s="9"/>
      <c r="X3681" s="9"/>
      <c r="Y3681" s="9"/>
      <c r="Z3681" s="9"/>
      <c r="AA3681" s="9"/>
    </row>
    <row r="3682">
      <c r="A3682" s="9"/>
      <c r="B3682" s="9"/>
      <c r="C3682" s="9"/>
      <c r="D3682" s="9"/>
      <c r="E3682" s="9"/>
      <c r="F3682" s="9"/>
      <c r="G3682" s="10"/>
      <c r="H3682" s="9"/>
      <c r="I3682" s="15"/>
      <c r="J3682" s="9"/>
      <c r="K3682" s="9"/>
      <c r="L3682" s="9"/>
      <c r="M3682" s="9"/>
      <c r="N3682" s="9"/>
      <c r="O3682" s="9"/>
      <c r="P3682" s="9"/>
      <c r="Q3682" s="9"/>
      <c r="R3682" s="9"/>
      <c r="S3682" s="9"/>
      <c r="T3682" s="9"/>
      <c r="U3682" s="9"/>
      <c r="V3682" s="9"/>
      <c r="W3682" s="9"/>
      <c r="X3682" s="9"/>
      <c r="Y3682" s="9"/>
      <c r="Z3682" s="9"/>
      <c r="AA3682" s="9"/>
    </row>
    <row r="3683">
      <c r="A3683" s="9"/>
      <c r="B3683" s="9"/>
      <c r="C3683" s="9"/>
      <c r="D3683" s="9"/>
      <c r="E3683" s="9"/>
      <c r="F3683" s="9"/>
      <c r="G3683" s="10"/>
      <c r="H3683" s="9"/>
      <c r="I3683" s="15"/>
      <c r="J3683" s="9"/>
      <c r="K3683" s="9"/>
      <c r="L3683" s="9"/>
      <c r="M3683" s="9"/>
      <c r="N3683" s="9"/>
      <c r="O3683" s="9"/>
      <c r="P3683" s="9"/>
      <c r="Q3683" s="9"/>
      <c r="R3683" s="9"/>
      <c r="S3683" s="9"/>
      <c r="T3683" s="9"/>
      <c r="U3683" s="9"/>
      <c r="V3683" s="9"/>
      <c r="W3683" s="9"/>
      <c r="X3683" s="9"/>
      <c r="Y3683" s="9"/>
      <c r="Z3683" s="9"/>
      <c r="AA3683" s="9"/>
    </row>
    <row r="3684">
      <c r="A3684" s="9"/>
      <c r="B3684" s="9"/>
      <c r="C3684" s="9"/>
      <c r="D3684" s="9"/>
      <c r="E3684" s="9"/>
      <c r="F3684" s="9"/>
      <c r="G3684" s="10"/>
      <c r="H3684" s="9"/>
      <c r="I3684" s="15"/>
      <c r="J3684" s="9"/>
      <c r="K3684" s="9"/>
      <c r="L3684" s="9"/>
      <c r="M3684" s="9"/>
      <c r="N3684" s="9"/>
      <c r="O3684" s="9"/>
      <c r="P3684" s="9"/>
      <c r="Q3684" s="9"/>
      <c r="R3684" s="9"/>
      <c r="S3684" s="9"/>
      <c r="T3684" s="9"/>
      <c r="U3684" s="9"/>
      <c r="V3684" s="9"/>
      <c r="W3684" s="9"/>
      <c r="X3684" s="9"/>
      <c r="Y3684" s="9"/>
      <c r="Z3684" s="9"/>
      <c r="AA3684" s="9"/>
    </row>
    <row r="3685">
      <c r="A3685" s="9"/>
      <c r="B3685" s="9"/>
      <c r="C3685" s="9"/>
      <c r="D3685" s="9"/>
      <c r="E3685" s="9"/>
      <c r="F3685" s="9"/>
      <c r="G3685" s="10"/>
      <c r="H3685" s="9"/>
      <c r="I3685" s="15"/>
      <c r="J3685" s="9"/>
      <c r="K3685" s="9"/>
      <c r="L3685" s="9"/>
      <c r="M3685" s="9"/>
      <c r="N3685" s="9"/>
      <c r="O3685" s="9"/>
      <c r="P3685" s="9"/>
      <c r="Q3685" s="9"/>
      <c r="R3685" s="9"/>
      <c r="S3685" s="9"/>
      <c r="T3685" s="9"/>
      <c r="U3685" s="9"/>
      <c r="V3685" s="9"/>
      <c r="W3685" s="9"/>
      <c r="X3685" s="9"/>
      <c r="Y3685" s="9"/>
      <c r="Z3685" s="9"/>
      <c r="AA3685" s="9"/>
    </row>
    <row r="3686">
      <c r="A3686" s="9"/>
      <c r="B3686" s="9"/>
      <c r="C3686" s="9"/>
      <c r="D3686" s="9"/>
      <c r="E3686" s="9"/>
      <c r="F3686" s="9"/>
      <c r="G3686" s="10"/>
      <c r="H3686" s="9"/>
      <c r="I3686" s="15"/>
      <c r="J3686" s="9"/>
      <c r="K3686" s="9"/>
      <c r="L3686" s="9"/>
      <c r="M3686" s="9"/>
      <c r="N3686" s="9"/>
      <c r="O3686" s="9"/>
      <c r="P3686" s="9"/>
      <c r="Q3686" s="9"/>
      <c r="R3686" s="9"/>
      <c r="S3686" s="9"/>
      <c r="T3686" s="9"/>
      <c r="U3686" s="9"/>
      <c r="V3686" s="9"/>
      <c r="W3686" s="9"/>
      <c r="X3686" s="9"/>
      <c r="Y3686" s="9"/>
      <c r="Z3686" s="9"/>
      <c r="AA3686" s="9"/>
    </row>
    <row r="3687">
      <c r="A3687" s="9"/>
      <c r="B3687" s="9"/>
      <c r="C3687" s="9"/>
      <c r="D3687" s="9"/>
      <c r="E3687" s="9"/>
      <c r="F3687" s="9"/>
      <c r="G3687" s="10"/>
      <c r="H3687" s="9"/>
      <c r="I3687" s="15"/>
      <c r="J3687" s="9"/>
      <c r="K3687" s="9"/>
      <c r="L3687" s="9"/>
      <c r="M3687" s="9"/>
      <c r="N3687" s="9"/>
      <c r="O3687" s="9"/>
      <c r="P3687" s="9"/>
      <c r="Q3687" s="9"/>
      <c r="R3687" s="9"/>
      <c r="S3687" s="9"/>
      <c r="T3687" s="9"/>
      <c r="U3687" s="9"/>
      <c r="V3687" s="9"/>
      <c r="W3687" s="9"/>
      <c r="X3687" s="9"/>
      <c r="Y3687" s="9"/>
      <c r="Z3687" s="9"/>
      <c r="AA3687" s="9"/>
    </row>
    <row r="3688">
      <c r="A3688" s="9"/>
      <c r="B3688" s="9"/>
      <c r="C3688" s="9"/>
      <c r="D3688" s="9"/>
      <c r="E3688" s="9"/>
      <c r="F3688" s="9"/>
      <c r="G3688" s="10"/>
      <c r="H3688" s="9"/>
      <c r="I3688" s="15"/>
      <c r="J3688" s="9"/>
      <c r="K3688" s="9"/>
      <c r="L3688" s="9"/>
      <c r="M3688" s="9"/>
      <c r="N3688" s="9"/>
      <c r="O3688" s="9"/>
      <c r="P3688" s="9"/>
      <c r="Q3688" s="9"/>
      <c r="R3688" s="9"/>
      <c r="S3688" s="9"/>
      <c r="T3688" s="9"/>
      <c r="U3688" s="9"/>
      <c r="V3688" s="9"/>
      <c r="W3688" s="9"/>
      <c r="X3688" s="9"/>
      <c r="Y3688" s="9"/>
      <c r="Z3688" s="9"/>
      <c r="AA3688" s="9"/>
    </row>
    <row r="3689">
      <c r="A3689" s="9"/>
      <c r="B3689" s="9"/>
      <c r="C3689" s="9"/>
      <c r="D3689" s="9"/>
      <c r="E3689" s="9"/>
      <c r="F3689" s="9"/>
      <c r="G3689" s="10"/>
      <c r="H3689" s="9"/>
      <c r="I3689" s="15"/>
      <c r="J3689" s="9"/>
      <c r="K3689" s="9"/>
      <c r="L3689" s="9"/>
      <c r="M3689" s="9"/>
      <c r="N3689" s="9"/>
      <c r="O3689" s="9"/>
      <c r="P3689" s="9"/>
      <c r="Q3689" s="9"/>
      <c r="R3689" s="9"/>
      <c r="S3689" s="9"/>
      <c r="T3689" s="9"/>
      <c r="U3689" s="9"/>
      <c r="V3689" s="9"/>
      <c r="W3689" s="9"/>
      <c r="X3689" s="9"/>
      <c r="Y3689" s="9"/>
      <c r="Z3689" s="9"/>
      <c r="AA3689" s="9"/>
    </row>
    <row r="3690">
      <c r="A3690" s="9"/>
      <c r="B3690" s="9"/>
      <c r="C3690" s="9"/>
      <c r="D3690" s="9"/>
      <c r="E3690" s="9"/>
      <c r="F3690" s="9"/>
      <c r="G3690" s="10"/>
      <c r="H3690" s="9"/>
      <c r="I3690" s="15"/>
      <c r="J3690" s="9"/>
      <c r="K3690" s="9"/>
      <c r="L3690" s="9"/>
      <c r="M3690" s="9"/>
      <c r="N3690" s="9"/>
      <c r="O3690" s="9"/>
      <c r="P3690" s="9"/>
      <c r="Q3690" s="9"/>
      <c r="R3690" s="9"/>
      <c r="S3690" s="9"/>
      <c r="T3690" s="9"/>
      <c r="U3690" s="9"/>
      <c r="V3690" s="9"/>
      <c r="W3690" s="9"/>
      <c r="X3690" s="9"/>
      <c r="Y3690" s="9"/>
      <c r="Z3690" s="9"/>
      <c r="AA3690" s="9"/>
    </row>
    <row r="3691">
      <c r="A3691" s="9"/>
      <c r="B3691" s="9"/>
      <c r="C3691" s="9"/>
      <c r="D3691" s="9"/>
      <c r="E3691" s="9"/>
      <c r="F3691" s="9"/>
      <c r="G3691" s="10"/>
      <c r="H3691" s="9"/>
      <c r="I3691" s="15"/>
      <c r="J3691" s="9"/>
      <c r="K3691" s="9"/>
      <c r="L3691" s="9"/>
      <c r="M3691" s="9"/>
      <c r="N3691" s="9"/>
      <c r="O3691" s="9"/>
      <c r="P3691" s="9"/>
      <c r="Q3691" s="9"/>
      <c r="R3691" s="9"/>
      <c r="S3691" s="9"/>
      <c r="T3691" s="9"/>
      <c r="U3691" s="9"/>
      <c r="V3691" s="9"/>
      <c r="W3691" s="9"/>
      <c r="X3691" s="9"/>
      <c r="Y3691" s="9"/>
      <c r="Z3691" s="9"/>
      <c r="AA3691" s="9"/>
    </row>
    <row r="3692">
      <c r="A3692" s="9"/>
      <c r="B3692" s="9"/>
      <c r="C3692" s="9"/>
      <c r="D3692" s="9"/>
      <c r="E3692" s="9"/>
      <c r="F3692" s="9"/>
      <c r="G3692" s="10"/>
      <c r="H3692" s="9"/>
      <c r="I3692" s="15"/>
      <c r="J3692" s="9"/>
      <c r="K3692" s="9"/>
      <c r="L3692" s="9"/>
      <c r="M3692" s="9"/>
      <c r="N3692" s="9"/>
      <c r="O3692" s="9"/>
      <c r="P3692" s="9"/>
      <c r="Q3692" s="9"/>
      <c r="R3692" s="9"/>
      <c r="S3692" s="9"/>
      <c r="T3692" s="9"/>
      <c r="U3692" s="9"/>
      <c r="V3692" s="9"/>
      <c r="W3692" s="9"/>
      <c r="X3692" s="9"/>
      <c r="Y3692" s="9"/>
      <c r="Z3692" s="9"/>
      <c r="AA3692" s="9"/>
    </row>
    <row r="3693">
      <c r="A3693" s="9"/>
      <c r="B3693" s="9"/>
      <c r="C3693" s="9"/>
      <c r="D3693" s="9"/>
      <c r="E3693" s="9"/>
      <c r="F3693" s="9"/>
      <c r="G3693" s="10"/>
      <c r="H3693" s="9"/>
      <c r="I3693" s="15"/>
      <c r="J3693" s="9"/>
      <c r="K3693" s="9"/>
      <c r="L3693" s="9"/>
      <c r="M3693" s="9"/>
      <c r="N3693" s="9"/>
      <c r="O3693" s="9"/>
      <c r="P3693" s="9"/>
      <c r="Q3693" s="9"/>
      <c r="R3693" s="9"/>
      <c r="S3693" s="9"/>
      <c r="T3693" s="9"/>
      <c r="U3693" s="9"/>
      <c r="V3693" s="9"/>
      <c r="W3693" s="9"/>
      <c r="X3693" s="9"/>
      <c r="Y3693" s="9"/>
      <c r="Z3693" s="9"/>
      <c r="AA3693" s="9"/>
    </row>
    <row r="3694">
      <c r="A3694" s="9"/>
      <c r="B3694" s="9"/>
      <c r="C3694" s="9"/>
      <c r="D3694" s="9"/>
      <c r="E3694" s="9"/>
      <c r="F3694" s="9"/>
      <c r="G3694" s="10"/>
      <c r="H3694" s="9"/>
      <c r="I3694" s="15"/>
      <c r="J3694" s="9"/>
      <c r="K3694" s="9"/>
      <c r="L3694" s="9"/>
      <c r="M3694" s="9"/>
      <c r="N3694" s="9"/>
      <c r="O3694" s="9"/>
      <c r="P3694" s="9"/>
      <c r="Q3694" s="9"/>
      <c r="R3694" s="9"/>
      <c r="S3694" s="9"/>
      <c r="T3694" s="9"/>
      <c r="U3694" s="9"/>
      <c r="V3694" s="9"/>
      <c r="W3694" s="9"/>
      <c r="X3694" s="9"/>
      <c r="Y3694" s="9"/>
      <c r="Z3694" s="9"/>
      <c r="AA3694" s="9"/>
    </row>
    <row r="3695">
      <c r="A3695" s="9"/>
      <c r="B3695" s="9"/>
      <c r="C3695" s="9"/>
      <c r="D3695" s="9"/>
      <c r="E3695" s="9"/>
      <c r="F3695" s="9"/>
      <c r="G3695" s="10"/>
      <c r="H3695" s="9"/>
      <c r="I3695" s="15"/>
      <c r="J3695" s="9"/>
      <c r="K3695" s="9"/>
      <c r="L3695" s="9"/>
      <c r="M3695" s="9"/>
      <c r="N3695" s="9"/>
      <c r="O3695" s="9"/>
      <c r="P3695" s="9"/>
      <c r="Q3695" s="9"/>
      <c r="R3695" s="9"/>
      <c r="S3695" s="9"/>
      <c r="T3695" s="9"/>
      <c r="U3695" s="9"/>
      <c r="V3695" s="9"/>
      <c r="W3695" s="9"/>
      <c r="X3695" s="9"/>
      <c r="Y3695" s="9"/>
      <c r="Z3695" s="9"/>
      <c r="AA3695" s="9"/>
    </row>
    <row r="3696">
      <c r="A3696" s="9"/>
      <c r="B3696" s="9"/>
      <c r="C3696" s="9"/>
      <c r="D3696" s="9"/>
      <c r="E3696" s="9"/>
      <c r="F3696" s="9"/>
      <c r="G3696" s="10"/>
      <c r="H3696" s="9"/>
      <c r="I3696" s="15"/>
      <c r="J3696" s="9"/>
      <c r="K3696" s="9"/>
      <c r="L3696" s="9"/>
      <c r="M3696" s="9"/>
      <c r="N3696" s="9"/>
      <c r="O3696" s="9"/>
      <c r="P3696" s="9"/>
      <c r="Q3696" s="9"/>
      <c r="R3696" s="9"/>
      <c r="S3696" s="9"/>
      <c r="T3696" s="9"/>
      <c r="U3696" s="9"/>
      <c r="V3696" s="9"/>
      <c r="W3696" s="9"/>
      <c r="X3696" s="9"/>
      <c r="Y3696" s="9"/>
      <c r="Z3696" s="9"/>
      <c r="AA3696" s="9"/>
    </row>
    <row r="3697">
      <c r="A3697" s="9"/>
      <c r="B3697" s="9"/>
      <c r="C3697" s="9"/>
      <c r="D3697" s="9"/>
      <c r="E3697" s="9"/>
      <c r="F3697" s="9"/>
      <c r="G3697" s="10"/>
      <c r="H3697" s="9"/>
      <c r="I3697" s="15"/>
      <c r="J3697" s="9"/>
      <c r="K3697" s="9"/>
      <c r="L3697" s="9"/>
      <c r="M3697" s="9"/>
      <c r="N3697" s="9"/>
      <c r="O3697" s="9"/>
      <c r="P3697" s="9"/>
      <c r="Q3697" s="9"/>
      <c r="R3697" s="9"/>
      <c r="S3697" s="9"/>
      <c r="T3697" s="9"/>
      <c r="U3697" s="9"/>
      <c r="V3697" s="9"/>
      <c r="W3697" s="9"/>
      <c r="X3697" s="9"/>
      <c r="Y3697" s="9"/>
      <c r="Z3697" s="9"/>
      <c r="AA3697" s="9"/>
    </row>
    <row r="3698">
      <c r="A3698" s="9"/>
      <c r="B3698" s="9"/>
      <c r="C3698" s="9"/>
      <c r="D3698" s="9"/>
      <c r="E3698" s="9"/>
      <c r="F3698" s="9"/>
      <c r="G3698" s="10"/>
      <c r="H3698" s="9"/>
      <c r="I3698" s="15"/>
      <c r="J3698" s="9"/>
      <c r="K3698" s="9"/>
      <c r="L3698" s="9"/>
      <c r="M3698" s="9"/>
      <c r="N3698" s="9"/>
      <c r="O3698" s="9"/>
      <c r="P3698" s="9"/>
      <c r="Q3698" s="9"/>
      <c r="R3698" s="9"/>
      <c r="S3698" s="9"/>
      <c r="T3698" s="9"/>
      <c r="U3698" s="9"/>
      <c r="V3698" s="9"/>
      <c r="W3698" s="9"/>
      <c r="X3698" s="9"/>
      <c r="Y3698" s="9"/>
      <c r="Z3698" s="9"/>
      <c r="AA3698" s="9"/>
    </row>
    <row r="3699">
      <c r="A3699" s="9"/>
      <c r="B3699" s="9"/>
      <c r="C3699" s="9"/>
      <c r="D3699" s="9"/>
      <c r="E3699" s="9"/>
      <c r="F3699" s="9"/>
      <c r="G3699" s="10"/>
      <c r="H3699" s="9"/>
      <c r="I3699" s="15"/>
      <c r="J3699" s="9"/>
      <c r="K3699" s="9"/>
      <c r="L3699" s="9"/>
      <c r="M3699" s="9"/>
      <c r="N3699" s="9"/>
      <c r="O3699" s="9"/>
      <c r="P3699" s="9"/>
      <c r="Q3699" s="9"/>
      <c r="R3699" s="9"/>
      <c r="S3699" s="9"/>
      <c r="T3699" s="9"/>
      <c r="U3699" s="9"/>
      <c r="V3699" s="9"/>
      <c r="W3699" s="9"/>
      <c r="X3699" s="9"/>
      <c r="Y3699" s="9"/>
      <c r="Z3699" s="9"/>
      <c r="AA3699" s="9"/>
    </row>
    <row r="3700">
      <c r="A3700" s="9"/>
      <c r="B3700" s="9"/>
      <c r="C3700" s="9"/>
      <c r="D3700" s="9"/>
      <c r="E3700" s="9"/>
      <c r="F3700" s="9"/>
      <c r="G3700" s="10"/>
      <c r="H3700" s="9"/>
      <c r="I3700" s="15"/>
      <c r="J3700" s="9"/>
      <c r="K3700" s="9"/>
      <c r="L3700" s="9"/>
      <c r="M3700" s="9"/>
      <c r="N3700" s="9"/>
      <c r="O3700" s="9"/>
      <c r="P3700" s="9"/>
      <c r="Q3700" s="9"/>
      <c r="R3700" s="9"/>
      <c r="S3700" s="9"/>
      <c r="T3700" s="9"/>
      <c r="U3700" s="9"/>
      <c r="V3700" s="9"/>
      <c r="W3700" s="9"/>
      <c r="X3700" s="9"/>
      <c r="Y3700" s="9"/>
      <c r="Z3700" s="9"/>
      <c r="AA3700" s="9"/>
    </row>
    <row r="3701">
      <c r="A3701" s="9"/>
      <c r="B3701" s="9"/>
      <c r="C3701" s="9"/>
      <c r="D3701" s="9"/>
      <c r="E3701" s="9"/>
      <c r="F3701" s="9"/>
      <c r="G3701" s="10"/>
      <c r="H3701" s="9"/>
      <c r="I3701" s="15"/>
      <c r="J3701" s="9"/>
      <c r="K3701" s="9"/>
      <c r="L3701" s="9"/>
      <c r="M3701" s="9"/>
      <c r="N3701" s="9"/>
      <c r="O3701" s="9"/>
      <c r="P3701" s="9"/>
      <c r="Q3701" s="9"/>
      <c r="R3701" s="9"/>
      <c r="S3701" s="9"/>
      <c r="T3701" s="9"/>
      <c r="U3701" s="9"/>
      <c r="V3701" s="9"/>
      <c r="W3701" s="9"/>
      <c r="X3701" s="9"/>
      <c r="Y3701" s="9"/>
      <c r="Z3701" s="9"/>
      <c r="AA3701" s="9"/>
    </row>
    <row r="3702">
      <c r="A3702" s="9"/>
      <c r="B3702" s="9"/>
      <c r="C3702" s="9"/>
      <c r="D3702" s="9"/>
      <c r="E3702" s="9"/>
      <c r="F3702" s="9"/>
      <c r="G3702" s="10"/>
      <c r="H3702" s="9"/>
      <c r="I3702" s="15"/>
      <c r="J3702" s="9"/>
      <c r="K3702" s="9"/>
      <c r="L3702" s="9"/>
      <c r="M3702" s="9"/>
      <c r="N3702" s="9"/>
      <c r="O3702" s="9"/>
      <c r="P3702" s="9"/>
      <c r="Q3702" s="9"/>
      <c r="R3702" s="9"/>
      <c r="S3702" s="9"/>
      <c r="T3702" s="9"/>
      <c r="U3702" s="9"/>
      <c r="V3702" s="9"/>
      <c r="W3702" s="9"/>
      <c r="X3702" s="9"/>
      <c r="Y3702" s="9"/>
      <c r="Z3702" s="9"/>
      <c r="AA3702" s="9"/>
    </row>
    <row r="3703">
      <c r="A3703" s="9"/>
      <c r="B3703" s="9"/>
      <c r="C3703" s="9"/>
      <c r="D3703" s="9"/>
      <c r="E3703" s="9"/>
      <c r="F3703" s="9"/>
      <c r="G3703" s="10"/>
      <c r="H3703" s="9"/>
      <c r="I3703" s="15"/>
      <c r="J3703" s="9"/>
      <c r="K3703" s="9"/>
      <c r="L3703" s="9"/>
      <c r="M3703" s="9"/>
      <c r="N3703" s="9"/>
      <c r="O3703" s="9"/>
      <c r="P3703" s="9"/>
      <c r="Q3703" s="9"/>
      <c r="R3703" s="9"/>
      <c r="S3703" s="9"/>
      <c r="T3703" s="9"/>
      <c r="U3703" s="9"/>
      <c r="V3703" s="9"/>
      <c r="W3703" s="9"/>
      <c r="X3703" s="9"/>
      <c r="Y3703" s="9"/>
      <c r="Z3703" s="9"/>
      <c r="AA3703" s="9"/>
    </row>
    <row r="3704">
      <c r="A3704" s="9"/>
      <c r="B3704" s="9"/>
      <c r="C3704" s="9"/>
      <c r="D3704" s="9"/>
      <c r="E3704" s="9"/>
      <c r="F3704" s="9"/>
      <c r="G3704" s="10"/>
      <c r="H3704" s="9"/>
      <c r="I3704" s="15"/>
      <c r="J3704" s="9"/>
      <c r="K3704" s="9"/>
      <c r="L3704" s="9"/>
      <c r="M3704" s="9"/>
      <c r="N3704" s="9"/>
      <c r="O3704" s="9"/>
      <c r="P3704" s="9"/>
      <c r="Q3704" s="9"/>
      <c r="R3704" s="9"/>
      <c r="S3704" s="9"/>
      <c r="T3704" s="9"/>
      <c r="U3704" s="9"/>
      <c r="V3704" s="9"/>
      <c r="W3704" s="9"/>
      <c r="X3704" s="9"/>
      <c r="Y3704" s="9"/>
      <c r="Z3704" s="9"/>
      <c r="AA3704" s="9"/>
    </row>
    <row r="3705">
      <c r="A3705" s="9"/>
      <c r="B3705" s="9"/>
      <c r="C3705" s="9"/>
      <c r="D3705" s="9"/>
      <c r="E3705" s="9"/>
      <c r="F3705" s="9"/>
      <c r="G3705" s="10"/>
      <c r="H3705" s="9"/>
      <c r="I3705" s="15"/>
      <c r="J3705" s="9"/>
      <c r="K3705" s="9"/>
      <c r="L3705" s="9"/>
      <c r="M3705" s="9"/>
      <c r="N3705" s="9"/>
      <c r="O3705" s="9"/>
      <c r="P3705" s="9"/>
      <c r="Q3705" s="9"/>
      <c r="R3705" s="9"/>
      <c r="S3705" s="9"/>
      <c r="T3705" s="9"/>
      <c r="U3705" s="9"/>
      <c r="V3705" s="9"/>
      <c r="W3705" s="9"/>
      <c r="X3705" s="9"/>
      <c r="Y3705" s="9"/>
      <c r="Z3705" s="9"/>
      <c r="AA3705" s="9"/>
    </row>
    <row r="3706">
      <c r="A3706" s="9"/>
      <c r="B3706" s="9"/>
      <c r="C3706" s="9"/>
      <c r="D3706" s="9"/>
      <c r="E3706" s="9"/>
      <c r="F3706" s="9"/>
      <c r="G3706" s="10"/>
      <c r="H3706" s="9"/>
      <c r="I3706" s="15"/>
      <c r="J3706" s="9"/>
      <c r="K3706" s="9"/>
      <c r="L3706" s="9"/>
      <c r="M3706" s="9"/>
      <c r="N3706" s="9"/>
      <c r="O3706" s="9"/>
      <c r="P3706" s="9"/>
      <c r="Q3706" s="9"/>
      <c r="R3706" s="9"/>
      <c r="S3706" s="9"/>
      <c r="T3706" s="9"/>
      <c r="U3706" s="9"/>
      <c r="V3706" s="9"/>
      <c r="W3706" s="9"/>
      <c r="X3706" s="9"/>
      <c r="Y3706" s="9"/>
      <c r="Z3706" s="9"/>
      <c r="AA3706" s="9"/>
    </row>
    <row r="3707">
      <c r="A3707" s="9"/>
      <c r="B3707" s="9"/>
      <c r="C3707" s="9"/>
      <c r="D3707" s="9"/>
      <c r="E3707" s="9"/>
      <c r="F3707" s="9"/>
      <c r="G3707" s="10"/>
      <c r="H3707" s="9"/>
      <c r="I3707" s="15"/>
      <c r="J3707" s="9"/>
      <c r="K3707" s="9"/>
      <c r="L3707" s="9"/>
      <c r="M3707" s="9"/>
      <c r="N3707" s="9"/>
      <c r="O3707" s="9"/>
      <c r="P3707" s="9"/>
      <c r="Q3707" s="9"/>
      <c r="R3707" s="9"/>
      <c r="S3707" s="9"/>
      <c r="T3707" s="9"/>
      <c r="U3707" s="9"/>
      <c r="V3707" s="9"/>
      <c r="W3707" s="9"/>
      <c r="X3707" s="9"/>
      <c r="Y3707" s="9"/>
      <c r="Z3707" s="9"/>
      <c r="AA3707" s="9"/>
    </row>
    <row r="3708">
      <c r="A3708" s="9"/>
      <c r="B3708" s="9"/>
      <c r="C3708" s="9"/>
      <c r="D3708" s="9"/>
      <c r="E3708" s="9"/>
      <c r="F3708" s="9"/>
      <c r="G3708" s="10"/>
      <c r="H3708" s="9"/>
      <c r="I3708" s="15"/>
      <c r="J3708" s="9"/>
      <c r="K3708" s="9"/>
      <c r="L3708" s="9"/>
      <c r="M3708" s="9"/>
      <c r="N3708" s="9"/>
      <c r="O3708" s="9"/>
      <c r="P3708" s="9"/>
      <c r="Q3708" s="9"/>
      <c r="R3708" s="9"/>
      <c r="S3708" s="9"/>
      <c r="T3708" s="9"/>
      <c r="U3708" s="9"/>
      <c r="V3708" s="9"/>
      <c r="W3708" s="9"/>
      <c r="X3708" s="9"/>
      <c r="Y3708" s="9"/>
      <c r="Z3708" s="9"/>
      <c r="AA3708" s="9"/>
    </row>
    <row r="3709">
      <c r="A3709" s="9"/>
      <c r="B3709" s="9"/>
      <c r="C3709" s="9"/>
      <c r="D3709" s="9"/>
      <c r="E3709" s="9"/>
      <c r="F3709" s="9"/>
      <c r="G3709" s="10"/>
      <c r="H3709" s="9"/>
      <c r="I3709" s="15"/>
      <c r="J3709" s="9"/>
      <c r="K3709" s="9"/>
      <c r="L3709" s="9"/>
      <c r="M3709" s="9"/>
      <c r="N3709" s="9"/>
      <c r="O3709" s="9"/>
      <c r="P3709" s="9"/>
      <c r="Q3709" s="9"/>
      <c r="R3709" s="9"/>
      <c r="S3709" s="9"/>
      <c r="T3709" s="9"/>
      <c r="U3709" s="9"/>
      <c r="V3709" s="9"/>
      <c r="W3709" s="9"/>
      <c r="X3709" s="9"/>
      <c r="Y3709" s="9"/>
      <c r="Z3709" s="9"/>
      <c r="AA3709" s="9"/>
    </row>
    <row r="3710">
      <c r="A3710" s="9"/>
      <c r="B3710" s="9"/>
      <c r="C3710" s="9"/>
      <c r="D3710" s="9"/>
      <c r="E3710" s="9"/>
      <c r="F3710" s="9"/>
      <c r="G3710" s="10"/>
      <c r="H3710" s="9"/>
      <c r="I3710" s="15"/>
      <c r="J3710" s="9"/>
      <c r="K3710" s="9"/>
      <c r="L3710" s="9"/>
      <c r="M3710" s="9"/>
      <c r="N3710" s="9"/>
      <c r="O3710" s="9"/>
      <c r="P3710" s="9"/>
      <c r="Q3710" s="9"/>
      <c r="R3710" s="9"/>
      <c r="S3710" s="9"/>
      <c r="T3710" s="9"/>
      <c r="U3710" s="9"/>
      <c r="V3710" s="9"/>
      <c r="W3710" s="9"/>
      <c r="X3710" s="9"/>
      <c r="Y3710" s="9"/>
      <c r="Z3710" s="9"/>
      <c r="AA3710" s="9"/>
    </row>
    <row r="3711">
      <c r="A3711" s="9"/>
      <c r="B3711" s="9"/>
      <c r="C3711" s="9"/>
      <c r="D3711" s="9"/>
      <c r="E3711" s="9"/>
      <c r="F3711" s="9"/>
      <c r="G3711" s="10"/>
      <c r="H3711" s="9"/>
      <c r="I3711" s="15"/>
      <c r="J3711" s="9"/>
      <c r="K3711" s="9"/>
      <c r="L3711" s="9"/>
      <c r="M3711" s="9"/>
      <c r="N3711" s="9"/>
      <c r="O3711" s="9"/>
      <c r="P3711" s="9"/>
      <c r="Q3711" s="9"/>
      <c r="R3711" s="9"/>
      <c r="S3711" s="9"/>
      <c r="T3711" s="9"/>
      <c r="U3711" s="9"/>
      <c r="V3711" s="9"/>
      <c r="W3711" s="9"/>
      <c r="X3711" s="9"/>
      <c r="Y3711" s="9"/>
      <c r="Z3711" s="9"/>
      <c r="AA3711" s="9"/>
    </row>
    <row r="3712">
      <c r="A3712" s="9"/>
      <c r="B3712" s="9"/>
      <c r="C3712" s="9"/>
      <c r="D3712" s="9"/>
      <c r="E3712" s="9"/>
      <c r="F3712" s="9"/>
      <c r="G3712" s="10"/>
      <c r="H3712" s="9"/>
      <c r="I3712" s="15"/>
      <c r="J3712" s="9"/>
      <c r="K3712" s="9"/>
      <c r="L3712" s="9"/>
      <c r="M3712" s="9"/>
      <c r="N3712" s="9"/>
      <c r="O3712" s="9"/>
      <c r="P3712" s="9"/>
      <c r="Q3712" s="9"/>
      <c r="R3712" s="9"/>
      <c r="S3712" s="9"/>
      <c r="T3712" s="9"/>
      <c r="U3712" s="9"/>
      <c r="V3712" s="9"/>
      <c r="W3712" s="9"/>
      <c r="X3712" s="9"/>
      <c r="Y3712" s="9"/>
      <c r="Z3712" s="9"/>
      <c r="AA3712" s="9"/>
    </row>
    <row r="3713">
      <c r="A3713" s="9"/>
      <c r="B3713" s="9"/>
      <c r="C3713" s="9"/>
      <c r="D3713" s="9"/>
      <c r="E3713" s="9"/>
      <c r="F3713" s="9"/>
      <c r="G3713" s="10"/>
      <c r="H3713" s="9"/>
      <c r="I3713" s="15"/>
      <c r="J3713" s="9"/>
      <c r="K3713" s="9"/>
      <c r="L3713" s="9"/>
      <c r="M3713" s="9"/>
      <c r="N3713" s="9"/>
      <c r="O3713" s="9"/>
      <c r="P3713" s="9"/>
      <c r="Q3713" s="9"/>
      <c r="R3713" s="9"/>
      <c r="S3713" s="9"/>
      <c r="T3713" s="9"/>
      <c r="U3713" s="9"/>
      <c r="V3713" s="9"/>
      <c r="W3713" s="9"/>
      <c r="X3713" s="9"/>
      <c r="Y3713" s="9"/>
      <c r="Z3713" s="9"/>
      <c r="AA3713" s="9"/>
    </row>
    <row r="3714">
      <c r="A3714" s="9"/>
      <c r="B3714" s="9"/>
      <c r="C3714" s="9"/>
      <c r="D3714" s="9"/>
      <c r="E3714" s="9"/>
      <c r="F3714" s="9"/>
      <c r="G3714" s="10"/>
      <c r="H3714" s="9"/>
      <c r="I3714" s="15"/>
      <c r="J3714" s="9"/>
      <c r="K3714" s="9"/>
      <c r="L3714" s="9"/>
      <c r="M3714" s="9"/>
      <c r="N3714" s="9"/>
      <c r="O3714" s="9"/>
      <c r="P3714" s="9"/>
      <c r="Q3714" s="9"/>
      <c r="R3714" s="9"/>
      <c r="S3714" s="9"/>
      <c r="T3714" s="9"/>
      <c r="U3714" s="9"/>
      <c r="V3714" s="9"/>
      <c r="W3714" s="9"/>
      <c r="X3714" s="9"/>
      <c r="Y3714" s="9"/>
      <c r="Z3714" s="9"/>
      <c r="AA3714" s="9"/>
    </row>
    <row r="3715">
      <c r="A3715" s="9"/>
      <c r="B3715" s="9"/>
      <c r="C3715" s="9"/>
      <c r="D3715" s="9"/>
      <c r="E3715" s="9"/>
      <c r="F3715" s="9"/>
      <c r="G3715" s="10"/>
      <c r="H3715" s="9"/>
      <c r="I3715" s="15"/>
      <c r="J3715" s="9"/>
      <c r="K3715" s="9"/>
      <c r="L3715" s="9"/>
      <c r="M3715" s="9"/>
      <c r="N3715" s="9"/>
      <c r="O3715" s="9"/>
      <c r="P3715" s="9"/>
      <c r="Q3715" s="9"/>
      <c r="R3715" s="9"/>
      <c r="S3715" s="9"/>
      <c r="T3715" s="9"/>
      <c r="U3715" s="9"/>
      <c r="V3715" s="9"/>
      <c r="W3715" s="9"/>
      <c r="X3715" s="9"/>
      <c r="Y3715" s="9"/>
      <c r="Z3715" s="9"/>
      <c r="AA3715" s="9"/>
    </row>
    <row r="3716">
      <c r="A3716" s="9"/>
      <c r="B3716" s="9"/>
      <c r="C3716" s="9"/>
      <c r="D3716" s="9"/>
      <c r="E3716" s="9"/>
      <c r="F3716" s="9"/>
      <c r="G3716" s="10"/>
      <c r="H3716" s="9"/>
      <c r="I3716" s="15"/>
      <c r="J3716" s="9"/>
      <c r="K3716" s="9"/>
      <c r="L3716" s="9"/>
      <c r="M3716" s="9"/>
      <c r="N3716" s="9"/>
      <c r="O3716" s="9"/>
      <c r="P3716" s="9"/>
      <c r="Q3716" s="9"/>
      <c r="R3716" s="9"/>
      <c r="S3716" s="9"/>
      <c r="T3716" s="9"/>
      <c r="U3716" s="9"/>
      <c r="V3716" s="9"/>
      <c r="W3716" s="9"/>
      <c r="X3716" s="9"/>
      <c r="Y3716" s="9"/>
      <c r="Z3716" s="9"/>
      <c r="AA3716" s="9"/>
    </row>
    <row r="3717">
      <c r="A3717" s="9"/>
      <c r="B3717" s="9"/>
      <c r="C3717" s="9"/>
      <c r="D3717" s="9"/>
      <c r="E3717" s="9"/>
      <c r="F3717" s="9"/>
      <c r="G3717" s="10"/>
      <c r="H3717" s="9"/>
      <c r="I3717" s="15"/>
      <c r="J3717" s="9"/>
      <c r="K3717" s="9"/>
      <c r="L3717" s="9"/>
      <c r="M3717" s="9"/>
      <c r="N3717" s="9"/>
      <c r="O3717" s="9"/>
      <c r="P3717" s="9"/>
      <c r="Q3717" s="9"/>
      <c r="R3717" s="9"/>
      <c r="S3717" s="9"/>
      <c r="T3717" s="9"/>
      <c r="U3717" s="9"/>
      <c r="V3717" s="9"/>
      <c r="W3717" s="9"/>
      <c r="X3717" s="9"/>
      <c r="Y3717" s="9"/>
      <c r="Z3717" s="9"/>
      <c r="AA3717" s="9"/>
    </row>
    <row r="3718">
      <c r="A3718" s="9"/>
      <c r="B3718" s="9"/>
      <c r="C3718" s="9"/>
      <c r="D3718" s="9"/>
      <c r="E3718" s="9"/>
      <c r="F3718" s="9"/>
      <c r="G3718" s="10"/>
      <c r="H3718" s="9"/>
      <c r="I3718" s="15"/>
      <c r="J3718" s="9"/>
      <c r="K3718" s="9"/>
      <c r="L3718" s="9"/>
      <c r="M3718" s="9"/>
      <c r="N3718" s="9"/>
      <c r="O3718" s="9"/>
      <c r="P3718" s="9"/>
      <c r="Q3718" s="9"/>
      <c r="R3718" s="9"/>
      <c r="S3718" s="9"/>
      <c r="T3718" s="9"/>
      <c r="U3718" s="9"/>
      <c r="V3718" s="9"/>
      <c r="W3718" s="9"/>
      <c r="X3718" s="9"/>
      <c r="Y3718" s="9"/>
      <c r="Z3718" s="9"/>
      <c r="AA3718" s="9"/>
    </row>
    <row r="3719">
      <c r="A3719" s="9"/>
      <c r="B3719" s="9"/>
      <c r="C3719" s="9"/>
      <c r="D3719" s="9"/>
      <c r="E3719" s="9"/>
      <c r="F3719" s="9"/>
      <c r="G3719" s="10"/>
      <c r="H3719" s="9"/>
      <c r="I3719" s="15"/>
      <c r="J3719" s="9"/>
      <c r="K3719" s="9"/>
      <c r="L3719" s="9"/>
      <c r="M3719" s="9"/>
      <c r="N3719" s="9"/>
      <c r="O3719" s="9"/>
      <c r="P3719" s="9"/>
      <c r="Q3719" s="9"/>
      <c r="R3719" s="9"/>
      <c r="S3719" s="9"/>
      <c r="T3719" s="9"/>
      <c r="U3719" s="9"/>
      <c r="V3719" s="9"/>
      <c r="W3719" s="9"/>
      <c r="X3719" s="9"/>
      <c r="Y3719" s="9"/>
      <c r="Z3719" s="9"/>
      <c r="AA3719" s="9"/>
    </row>
    <row r="3720">
      <c r="A3720" s="9"/>
      <c r="B3720" s="9"/>
      <c r="C3720" s="9"/>
      <c r="D3720" s="9"/>
      <c r="E3720" s="9"/>
      <c r="F3720" s="9"/>
      <c r="G3720" s="10"/>
      <c r="H3720" s="9"/>
      <c r="I3720" s="15"/>
      <c r="J3720" s="9"/>
      <c r="K3720" s="9"/>
      <c r="L3720" s="9"/>
      <c r="M3720" s="9"/>
      <c r="N3720" s="9"/>
      <c r="O3720" s="9"/>
      <c r="P3720" s="9"/>
      <c r="Q3720" s="9"/>
      <c r="R3720" s="9"/>
      <c r="S3720" s="9"/>
      <c r="T3720" s="9"/>
      <c r="U3720" s="9"/>
      <c r="V3720" s="9"/>
      <c r="W3720" s="9"/>
      <c r="X3720" s="9"/>
      <c r="Y3720" s="9"/>
      <c r="Z3720" s="9"/>
      <c r="AA3720" s="9"/>
    </row>
    <row r="3721">
      <c r="A3721" s="9"/>
      <c r="B3721" s="9"/>
      <c r="C3721" s="9"/>
      <c r="D3721" s="9"/>
      <c r="E3721" s="9"/>
      <c r="F3721" s="9"/>
      <c r="G3721" s="10"/>
      <c r="H3721" s="9"/>
      <c r="I3721" s="15"/>
      <c r="J3721" s="9"/>
      <c r="K3721" s="9"/>
      <c r="L3721" s="9"/>
      <c r="M3721" s="9"/>
      <c r="N3721" s="9"/>
      <c r="O3721" s="9"/>
      <c r="P3721" s="9"/>
      <c r="Q3721" s="9"/>
      <c r="R3721" s="9"/>
      <c r="S3721" s="9"/>
      <c r="T3721" s="9"/>
      <c r="U3721" s="9"/>
      <c r="V3721" s="9"/>
      <c r="W3721" s="9"/>
      <c r="X3721" s="9"/>
      <c r="Y3721" s="9"/>
      <c r="Z3721" s="9"/>
      <c r="AA3721" s="9"/>
    </row>
    <row r="3722">
      <c r="A3722" s="9"/>
      <c r="B3722" s="9"/>
      <c r="C3722" s="9"/>
      <c r="D3722" s="9"/>
      <c r="E3722" s="9"/>
      <c r="F3722" s="9"/>
      <c r="G3722" s="10"/>
      <c r="H3722" s="9"/>
      <c r="I3722" s="15"/>
      <c r="J3722" s="9"/>
      <c r="K3722" s="9"/>
      <c r="L3722" s="9"/>
      <c r="M3722" s="9"/>
      <c r="N3722" s="9"/>
      <c r="O3722" s="9"/>
      <c r="P3722" s="9"/>
      <c r="Q3722" s="9"/>
      <c r="R3722" s="9"/>
      <c r="S3722" s="9"/>
      <c r="T3722" s="9"/>
      <c r="U3722" s="9"/>
      <c r="V3722" s="9"/>
      <c r="W3722" s="9"/>
      <c r="X3722" s="9"/>
      <c r="Y3722" s="9"/>
      <c r="Z3722" s="9"/>
      <c r="AA3722" s="9"/>
    </row>
    <row r="3723">
      <c r="A3723" s="9"/>
      <c r="B3723" s="9"/>
      <c r="C3723" s="9"/>
      <c r="D3723" s="9"/>
      <c r="E3723" s="9"/>
      <c r="F3723" s="9"/>
      <c r="G3723" s="10"/>
      <c r="H3723" s="9"/>
      <c r="I3723" s="15"/>
      <c r="J3723" s="9"/>
      <c r="K3723" s="9"/>
      <c r="L3723" s="9"/>
      <c r="M3723" s="9"/>
      <c r="N3723" s="9"/>
      <c r="O3723" s="9"/>
      <c r="P3723" s="9"/>
      <c r="Q3723" s="9"/>
      <c r="R3723" s="9"/>
      <c r="S3723" s="9"/>
      <c r="T3723" s="9"/>
      <c r="U3723" s="9"/>
      <c r="V3723" s="9"/>
      <c r="W3723" s="9"/>
      <c r="X3723" s="9"/>
      <c r="Y3723" s="9"/>
      <c r="Z3723" s="9"/>
      <c r="AA3723" s="9"/>
    </row>
    <row r="3724">
      <c r="A3724" s="9"/>
      <c r="B3724" s="9"/>
      <c r="C3724" s="9"/>
      <c r="D3724" s="9"/>
      <c r="E3724" s="9"/>
      <c r="F3724" s="9"/>
      <c r="G3724" s="10"/>
      <c r="H3724" s="9"/>
      <c r="I3724" s="15"/>
      <c r="J3724" s="9"/>
      <c r="K3724" s="9"/>
      <c r="L3724" s="9"/>
      <c r="M3724" s="9"/>
      <c r="N3724" s="9"/>
      <c r="O3724" s="9"/>
      <c r="P3724" s="9"/>
      <c r="Q3724" s="9"/>
      <c r="R3724" s="9"/>
      <c r="S3724" s="9"/>
      <c r="T3724" s="9"/>
      <c r="U3724" s="9"/>
      <c r="V3724" s="9"/>
      <c r="W3724" s="9"/>
      <c r="X3724" s="9"/>
      <c r="Y3724" s="9"/>
      <c r="Z3724" s="9"/>
      <c r="AA3724" s="9"/>
    </row>
    <row r="3725">
      <c r="A3725" s="9"/>
      <c r="B3725" s="9"/>
      <c r="C3725" s="9"/>
      <c r="D3725" s="9"/>
      <c r="E3725" s="9"/>
      <c r="F3725" s="9"/>
      <c r="G3725" s="10"/>
      <c r="H3725" s="9"/>
      <c r="I3725" s="15"/>
      <c r="J3725" s="9"/>
      <c r="K3725" s="9"/>
      <c r="L3725" s="9"/>
      <c r="M3725" s="9"/>
      <c r="N3725" s="9"/>
      <c r="O3725" s="9"/>
      <c r="P3725" s="9"/>
      <c r="Q3725" s="9"/>
      <c r="R3725" s="9"/>
      <c r="S3725" s="9"/>
      <c r="T3725" s="9"/>
      <c r="U3725" s="9"/>
      <c r="V3725" s="9"/>
      <c r="W3725" s="9"/>
      <c r="X3725" s="9"/>
      <c r="Y3725" s="9"/>
      <c r="Z3725" s="9"/>
      <c r="AA3725" s="9"/>
    </row>
    <row r="3726">
      <c r="A3726" s="9"/>
      <c r="B3726" s="9"/>
      <c r="C3726" s="9"/>
      <c r="D3726" s="9"/>
      <c r="E3726" s="9"/>
      <c r="F3726" s="9"/>
      <c r="G3726" s="10"/>
      <c r="H3726" s="9"/>
      <c r="I3726" s="15"/>
      <c r="J3726" s="9"/>
      <c r="K3726" s="9"/>
      <c r="L3726" s="9"/>
      <c r="M3726" s="9"/>
      <c r="N3726" s="9"/>
      <c r="O3726" s="9"/>
      <c r="P3726" s="9"/>
      <c r="Q3726" s="9"/>
      <c r="R3726" s="9"/>
      <c r="S3726" s="9"/>
      <c r="T3726" s="9"/>
      <c r="U3726" s="9"/>
      <c r="V3726" s="9"/>
      <c r="W3726" s="9"/>
      <c r="X3726" s="9"/>
      <c r="Y3726" s="9"/>
      <c r="Z3726" s="9"/>
      <c r="AA3726" s="9"/>
    </row>
    <row r="3727">
      <c r="A3727" s="9"/>
      <c r="B3727" s="9"/>
      <c r="C3727" s="9"/>
      <c r="D3727" s="9"/>
      <c r="E3727" s="9"/>
      <c r="F3727" s="9"/>
      <c r="G3727" s="10"/>
      <c r="H3727" s="9"/>
      <c r="I3727" s="15"/>
      <c r="J3727" s="9"/>
      <c r="K3727" s="9"/>
      <c r="L3727" s="9"/>
      <c r="M3727" s="9"/>
      <c r="N3727" s="9"/>
      <c r="O3727" s="9"/>
      <c r="P3727" s="9"/>
      <c r="Q3727" s="9"/>
      <c r="R3727" s="9"/>
      <c r="S3727" s="9"/>
      <c r="T3727" s="9"/>
      <c r="U3727" s="9"/>
      <c r="V3727" s="9"/>
      <c r="W3727" s="9"/>
      <c r="X3727" s="9"/>
      <c r="Y3727" s="9"/>
      <c r="Z3727" s="9"/>
      <c r="AA3727" s="9"/>
    </row>
    <row r="3728">
      <c r="A3728" s="9"/>
      <c r="B3728" s="9"/>
      <c r="C3728" s="9"/>
      <c r="D3728" s="9"/>
      <c r="E3728" s="9"/>
      <c r="F3728" s="9"/>
      <c r="G3728" s="10"/>
      <c r="H3728" s="9"/>
      <c r="I3728" s="15"/>
      <c r="J3728" s="9"/>
      <c r="K3728" s="9"/>
      <c r="L3728" s="9"/>
      <c r="M3728" s="9"/>
      <c r="N3728" s="9"/>
      <c r="O3728" s="9"/>
      <c r="P3728" s="9"/>
      <c r="Q3728" s="9"/>
      <c r="R3728" s="9"/>
      <c r="S3728" s="9"/>
      <c r="T3728" s="9"/>
      <c r="U3728" s="9"/>
      <c r="V3728" s="9"/>
      <c r="W3728" s="9"/>
      <c r="X3728" s="9"/>
      <c r="Y3728" s="9"/>
      <c r="Z3728" s="9"/>
      <c r="AA3728" s="9"/>
    </row>
    <row r="3729">
      <c r="A3729" s="9"/>
      <c r="B3729" s="9"/>
      <c r="C3729" s="9"/>
      <c r="D3729" s="9"/>
      <c r="E3729" s="9"/>
      <c r="F3729" s="9"/>
      <c r="G3729" s="10"/>
      <c r="H3729" s="9"/>
      <c r="I3729" s="15"/>
      <c r="J3729" s="9"/>
      <c r="K3729" s="9"/>
      <c r="L3729" s="9"/>
      <c r="M3729" s="9"/>
      <c r="N3729" s="9"/>
      <c r="O3729" s="9"/>
      <c r="P3729" s="9"/>
      <c r="Q3729" s="9"/>
      <c r="R3729" s="9"/>
      <c r="S3729" s="9"/>
      <c r="T3729" s="9"/>
      <c r="U3729" s="9"/>
      <c r="V3729" s="9"/>
      <c r="W3729" s="9"/>
      <c r="X3729" s="9"/>
      <c r="Y3729" s="9"/>
      <c r="Z3729" s="9"/>
      <c r="AA3729" s="9"/>
    </row>
    <row r="3730">
      <c r="A3730" s="9"/>
      <c r="B3730" s="9"/>
      <c r="C3730" s="9"/>
      <c r="D3730" s="9"/>
      <c r="E3730" s="9"/>
      <c r="F3730" s="9"/>
      <c r="G3730" s="10"/>
      <c r="H3730" s="9"/>
      <c r="I3730" s="15"/>
      <c r="J3730" s="9"/>
      <c r="K3730" s="9"/>
      <c r="L3730" s="9"/>
      <c r="M3730" s="9"/>
      <c r="N3730" s="9"/>
      <c r="O3730" s="9"/>
      <c r="P3730" s="9"/>
      <c r="Q3730" s="9"/>
      <c r="R3730" s="9"/>
      <c r="S3730" s="9"/>
      <c r="T3730" s="9"/>
      <c r="U3730" s="9"/>
      <c r="V3730" s="9"/>
      <c r="W3730" s="9"/>
      <c r="X3730" s="9"/>
      <c r="Y3730" s="9"/>
      <c r="Z3730" s="9"/>
      <c r="AA3730" s="9"/>
    </row>
    <row r="3731">
      <c r="A3731" s="9"/>
      <c r="B3731" s="9"/>
      <c r="C3731" s="9"/>
      <c r="D3731" s="9"/>
      <c r="E3731" s="9"/>
      <c r="F3731" s="9"/>
      <c r="G3731" s="10"/>
      <c r="H3731" s="9"/>
      <c r="I3731" s="15"/>
      <c r="J3731" s="9"/>
      <c r="K3731" s="9"/>
      <c r="L3731" s="9"/>
      <c r="M3731" s="9"/>
      <c r="N3731" s="9"/>
      <c r="O3731" s="9"/>
      <c r="P3731" s="9"/>
      <c r="Q3731" s="9"/>
      <c r="R3731" s="9"/>
      <c r="S3731" s="9"/>
      <c r="T3731" s="9"/>
      <c r="U3731" s="9"/>
      <c r="V3731" s="9"/>
      <c r="W3731" s="9"/>
      <c r="X3731" s="9"/>
      <c r="Y3731" s="9"/>
      <c r="Z3731" s="9"/>
      <c r="AA3731" s="9"/>
    </row>
    <row r="3732">
      <c r="A3732" s="9"/>
      <c r="B3732" s="9"/>
      <c r="C3732" s="9"/>
      <c r="D3732" s="9"/>
      <c r="E3732" s="9"/>
      <c r="F3732" s="9"/>
      <c r="G3732" s="10"/>
      <c r="H3732" s="9"/>
      <c r="I3732" s="15"/>
      <c r="J3732" s="9"/>
      <c r="K3732" s="9"/>
      <c r="L3732" s="9"/>
      <c r="M3732" s="9"/>
      <c r="N3732" s="9"/>
      <c r="O3732" s="9"/>
      <c r="P3732" s="9"/>
      <c r="Q3732" s="9"/>
      <c r="R3732" s="9"/>
      <c r="S3732" s="9"/>
      <c r="T3732" s="9"/>
      <c r="U3732" s="9"/>
      <c r="V3732" s="9"/>
      <c r="W3732" s="9"/>
      <c r="X3732" s="9"/>
      <c r="Y3732" s="9"/>
      <c r="Z3732" s="9"/>
      <c r="AA3732" s="9"/>
    </row>
    <row r="3733">
      <c r="A3733" s="9"/>
      <c r="B3733" s="9"/>
      <c r="C3733" s="9"/>
      <c r="D3733" s="9"/>
      <c r="E3733" s="9"/>
      <c r="F3733" s="9"/>
      <c r="G3733" s="10"/>
      <c r="H3733" s="9"/>
      <c r="I3733" s="15"/>
      <c r="J3733" s="9"/>
      <c r="K3733" s="9"/>
      <c r="L3733" s="9"/>
      <c r="M3733" s="9"/>
      <c r="N3733" s="9"/>
      <c r="O3733" s="9"/>
      <c r="P3733" s="9"/>
      <c r="Q3733" s="9"/>
      <c r="R3733" s="9"/>
      <c r="S3733" s="9"/>
      <c r="T3733" s="9"/>
      <c r="U3733" s="9"/>
      <c r="V3733" s="9"/>
      <c r="W3733" s="9"/>
      <c r="X3733" s="9"/>
      <c r="Y3733" s="9"/>
      <c r="Z3733" s="9"/>
      <c r="AA3733" s="9"/>
    </row>
    <row r="3734">
      <c r="A3734" s="9"/>
      <c r="B3734" s="9"/>
      <c r="C3734" s="9"/>
      <c r="D3734" s="9"/>
      <c r="E3734" s="9"/>
      <c r="F3734" s="9"/>
      <c r="G3734" s="10"/>
      <c r="H3734" s="9"/>
      <c r="I3734" s="15"/>
      <c r="J3734" s="9"/>
      <c r="K3734" s="9"/>
      <c r="L3734" s="9"/>
      <c r="M3734" s="9"/>
      <c r="N3734" s="9"/>
      <c r="O3734" s="9"/>
      <c r="P3734" s="9"/>
      <c r="Q3734" s="9"/>
      <c r="R3734" s="9"/>
      <c r="S3734" s="9"/>
      <c r="T3734" s="9"/>
      <c r="U3734" s="9"/>
      <c r="V3734" s="9"/>
      <c r="W3734" s="9"/>
      <c r="X3734" s="9"/>
      <c r="Y3734" s="9"/>
      <c r="Z3734" s="9"/>
      <c r="AA3734" s="9"/>
    </row>
    <row r="3735">
      <c r="A3735" s="9"/>
      <c r="B3735" s="9"/>
      <c r="C3735" s="9"/>
      <c r="D3735" s="9"/>
      <c r="E3735" s="9"/>
      <c r="F3735" s="9"/>
      <c r="G3735" s="10"/>
      <c r="H3735" s="9"/>
      <c r="I3735" s="15"/>
      <c r="J3735" s="9"/>
      <c r="K3735" s="9"/>
      <c r="L3735" s="9"/>
      <c r="M3735" s="9"/>
      <c r="N3735" s="9"/>
      <c r="O3735" s="9"/>
      <c r="P3735" s="9"/>
      <c r="Q3735" s="9"/>
      <c r="R3735" s="9"/>
      <c r="S3735" s="9"/>
      <c r="T3735" s="9"/>
      <c r="U3735" s="9"/>
      <c r="V3735" s="9"/>
      <c r="W3735" s="9"/>
      <c r="X3735" s="9"/>
      <c r="Y3735" s="9"/>
      <c r="Z3735" s="9"/>
      <c r="AA3735" s="9"/>
    </row>
    <row r="3736">
      <c r="A3736" s="9"/>
      <c r="B3736" s="9"/>
      <c r="C3736" s="9"/>
      <c r="D3736" s="9"/>
      <c r="E3736" s="9"/>
      <c r="F3736" s="9"/>
      <c r="G3736" s="10"/>
      <c r="H3736" s="9"/>
      <c r="I3736" s="15"/>
      <c r="J3736" s="9"/>
      <c r="K3736" s="9"/>
      <c r="L3736" s="9"/>
      <c r="M3736" s="9"/>
      <c r="N3736" s="9"/>
      <c r="O3736" s="9"/>
      <c r="P3736" s="9"/>
      <c r="Q3736" s="9"/>
      <c r="R3736" s="9"/>
      <c r="S3736" s="9"/>
      <c r="T3736" s="9"/>
      <c r="U3736" s="9"/>
      <c r="V3736" s="9"/>
      <c r="W3736" s="9"/>
      <c r="X3736" s="9"/>
      <c r="Y3736" s="9"/>
      <c r="Z3736" s="9"/>
      <c r="AA3736" s="9"/>
    </row>
    <row r="3737">
      <c r="A3737" s="9"/>
      <c r="B3737" s="9"/>
      <c r="C3737" s="9"/>
      <c r="D3737" s="9"/>
      <c r="E3737" s="9"/>
      <c r="F3737" s="9"/>
      <c r="G3737" s="10"/>
      <c r="H3737" s="9"/>
      <c r="I3737" s="15"/>
      <c r="J3737" s="9"/>
      <c r="K3737" s="9"/>
      <c r="L3737" s="9"/>
      <c r="M3737" s="9"/>
      <c r="N3737" s="9"/>
      <c r="O3737" s="9"/>
      <c r="P3737" s="9"/>
      <c r="Q3737" s="9"/>
      <c r="R3737" s="9"/>
      <c r="S3737" s="9"/>
      <c r="T3737" s="9"/>
      <c r="U3737" s="9"/>
      <c r="V3737" s="9"/>
      <c r="W3737" s="9"/>
      <c r="X3737" s="9"/>
      <c r="Y3737" s="9"/>
      <c r="Z3737" s="9"/>
      <c r="AA3737" s="9"/>
    </row>
    <row r="3738">
      <c r="A3738" s="9"/>
      <c r="B3738" s="9"/>
      <c r="C3738" s="9"/>
      <c r="D3738" s="9"/>
      <c r="E3738" s="9"/>
      <c r="F3738" s="9"/>
      <c r="G3738" s="10"/>
      <c r="H3738" s="9"/>
      <c r="I3738" s="15"/>
      <c r="J3738" s="9"/>
      <c r="K3738" s="9"/>
      <c r="L3738" s="9"/>
      <c r="M3738" s="9"/>
      <c r="N3738" s="9"/>
      <c r="O3738" s="9"/>
      <c r="P3738" s="9"/>
      <c r="Q3738" s="9"/>
      <c r="R3738" s="9"/>
      <c r="S3738" s="9"/>
      <c r="T3738" s="9"/>
      <c r="U3738" s="9"/>
      <c r="V3738" s="9"/>
      <c r="W3738" s="9"/>
      <c r="X3738" s="9"/>
      <c r="Y3738" s="9"/>
      <c r="Z3738" s="9"/>
      <c r="AA3738" s="9"/>
    </row>
    <row r="3739">
      <c r="A3739" s="9"/>
      <c r="B3739" s="9"/>
      <c r="C3739" s="9"/>
      <c r="D3739" s="9"/>
      <c r="E3739" s="9"/>
      <c r="F3739" s="9"/>
      <c r="G3739" s="10"/>
      <c r="H3739" s="9"/>
      <c r="I3739" s="15"/>
      <c r="J3739" s="9"/>
      <c r="K3739" s="9"/>
      <c r="L3739" s="9"/>
      <c r="M3739" s="9"/>
      <c r="N3739" s="9"/>
      <c r="O3739" s="9"/>
      <c r="P3739" s="9"/>
      <c r="Q3739" s="9"/>
      <c r="R3739" s="9"/>
      <c r="S3739" s="9"/>
      <c r="T3739" s="9"/>
      <c r="U3739" s="9"/>
      <c r="V3739" s="9"/>
      <c r="W3739" s="9"/>
      <c r="X3739" s="9"/>
      <c r="Y3739" s="9"/>
      <c r="Z3739" s="9"/>
      <c r="AA3739" s="9"/>
    </row>
    <row r="3740">
      <c r="A3740" s="9"/>
      <c r="B3740" s="9"/>
      <c r="C3740" s="9"/>
      <c r="D3740" s="9"/>
      <c r="E3740" s="9"/>
      <c r="F3740" s="9"/>
      <c r="G3740" s="10"/>
      <c r="H3740" s="9"/>
      <c r="I3740" s="15"/>
      <c r="J3740" s="9"/>
      <c r="K3740" s="9"/>
      <c r="L3740" s="9"/>
      <c r="M3740" s="9"/>
      <c r="N3740" s="9"/>
      <c r="O3740" s="9"/>
      <c r="P3740" s="9"/>
      <c r="Q3740" s="9"/>
      <c r="R3740" s="9"/>
      <c r="S3740" s="9"/>
      <c r="T3740" s="9"/>
      <c r="U3740" s="9"/>
      <c r="V3740" s="9"/>
      <c r="W3740" s="9"/>
      <c r="X3740" s="9"/>
      <c r="Y3740" s="9"/>
      <c r="Z3740" s="9"/>
      <c r="AA3740" s="9"/>
    </row>
    <row r="3741">
      <c r="A3741" s="9"/>
      <c r="B3741" s="9"/>
      <c r="C3741" s="9"/>
      <c r="D3741" s="9"/>
      <c r="E3741" s="9"/>
      <c r="F3741" s="9"/>
      <c r="G3741" s="10"/>
      <c r="H3741" s="9"/>
      <c r="I3741" s="15"/>
      <c r="J3741" s="9"/>
      <c r="K3741" s="9"/>
      <c r="L3741" s="9"/>
      <c r="M3741" s="9"/>
      <c r="N3741" s="9"/>
      <c r="O3741" s="9"/>
      <c r="P3741" s="9"/>
      <c r="Q3741" s="9"/>
      <c r="R3741" s="9"/>
      <c r="S3741" s="9"/>
      <c r="T3741" s="9"/>
      <c r="U3741" s="9"/>
      <c r="V3741" s="9"/>
      <c r="W3741" s="9"/>
      <c r="X3741" s="9"/>
      <c r="Y3741" s="9"/>
      <c r="Z3741" s="9"/>
      <c r="AA3741" s="9"/>
    </row>
    <row r="3742">
      <c r="A3742" s="9"/>
      <c r="B3742" s="9"/>
      <c r="C3742" s="9"/>
      <c r="D3742" s="9"/>
      <c r="E3742" s="9"/>
      <c r="F3742" s="9"/>
      <c r="G3742" s="10"/>
      <c r="H3742" s="9"/>
      <c r="I3742" s="15"/>
      <c r="J3742" s="9"/>
      <c r="K3742" s="9"/>
      <c r="L3742" s="9"/>
      <c r="M3742" s="9"/>
      <c r="N3742" s="9"/>
      <c r="O3742" s="9"/>
      <c r="P3742" s="9"/>
      <c r="Q3742" s="9"/>
      <c r="R3742" s="9"/>
      <c r="S3742" s="9"/>
      <c r="T3742" s="9"/>
      <c r="U3742" s="9"/>
      <c r="V3742" s="9"/>
      <c r="W3742" s="9"/>
      <c r="X3742" s="9"/>
      <c r="Y3742" s="9"/>
      <c r="Z3742" s="9"/>
      <c r="AA3742" s="9"/>
    </row>
    <row r="3743">
      <c r="A3743" s="9"/>
      <c r="B3743" s="9"/>
      <c r="C3743" s="9"/>
      <c r="D3743" s="9"/>
      <c r="E3743" s="9"/>
      <c r="F3743" s="9"/>
      <c r="G3743" s="10"/>
      <c r="H3743" s="9"/>
      <c r="I3743" s="15"/>
      <c r="J3743" s="9"/>
      <c r="K3743" s="9"/>
      <c r="L3743" s="9"/>
      <c r="M3743" s="9"/>
      <c r="N3743" s="9"/>
      <c r="O3743" s="9"/>
      <c r="P3743" s="9"/>
      <c r="Q3743" s="9"/>
      <c r="R3743" s="9"/>
      <c r="S3743" s="9"/>
      <c r="T3743" s="9"/>
      <c r="U3743" s="9"/>
      <c r="V3743" s="9"/>
      <c r="W3743" s="9"/>
      <c r="X3743" s="9"/>
      <c r="Y3743" s="9"/>
      <c r="Z3743" s="9"/>
      <c r="AA3743" s="9"/>
    </row>
    <row r="3744">
      <c r="A3744" s="9"/>
      <c r="B3744" s="9"/>
      <c r="C3744" s="9"/>
      <c r="D3744" s="9"/>
      <c r="E3744" s="9"/>
      <c r="F3744" s="9"/>
      <c r="G3744" s="10"/>
      <c r="H3744" s="9"/>
      <c r="I3744" s="15"/>
      <c r="J3744" s="9"/>
      <c r="K3744" s="9"/>
      <c r="L3744" s="9"/>
      <c r="M3744" s="9"/>
      <c r="N3744" s="9"/>
      <c r="O3744" s="9"/>
      <c r="P3744" s="9"/>
      <c r="Q3744" s="9"/>
      <c r="R3744" s="9"/>
      <c r="S3744" s="9"/>
      <c r="T3744" s="9"/>
      <c r="U3744" s="9"/>
      <c r="V3744" s="9"/>
      <c r="W3744" s="9"/>
      <c r="X3744" s="9"/>
      <c r="Y3744" s="9"/>
      <c r="Z3744" s="9"/>
      <c r="AA3744" s="9"/>
    </row>
    <row r="3745">
      <c r="A3745" s="9"/>
      <c r="B3745" s="9"/>
      <c r="C3745" s="9"/>
      <c r="D3745" s="9"/>
      <c r="E3745" s="9"/>
      <c r="F3745" s="9"/>
      <c r="G3745" s="10"/>
      <c r="H3745" s="9"/>
      <c r="I3745" s="15"/>
      <c r="J3745" s="9"/>
      <c r="K3745" s="9"/>
      <c r="L3745" s="9"/>
      <c r="M3745" s="9"/>
      <c r="N3745" s="9"/>
      <c r="O3745" s="9"/>
      <c r="P3745" s="9"/>
      <c r="Q3745" s="9"/>
      <c r="R3745" s="9"/>
      <c r="S3745" s="9"/>
      <c r="T3745" s="9"/>
      <c r="U3745" s="9"/>
      <c r="V3745" s="9"/>
      <c r="W3745" s="9"/>
      <c r="X3745" s="9"/>
      <c r="Y3745" s="9"/>
      <c r="Z3745" s="9"/>
      <c r="AA3745" s="9"/>
    </row>
    <row r="3746">
      <c r="A3746" s="9"/>
      <c r="B3746" s="9"/>
      <c r="C3746" s="9"/>
      <c r="D3746" s="9"/>
      <c r="E3746" s="9"/>
      <c r="F3746" s="9"/>
      <c r="G3746" s="10"/>
      <c r="H3746" s="9"/>
      <c r="I3746" s="15"/>
      <c r="J3746" s="9"/>
      <c r="K3746" s="9"/>
      <c r="L3746" s="9"/>
      <c r="M3746" s="9"/>
      <c r="N3746" s="9"/>
      <c r="O3746" s="9"/>
      <c r="P3746" s="9"/>
      <c r="Q3746" s="9"/>
      <c r="R3746" s="9"/>
      <c r="S3746" s="9"/>
      <c r="T3746" s="9"/>
      <c r="U3746" s="9"/>
      <c r="V3746" s="9"/>
      <c r="W3746" s="9"/>
      <c r="X3746" s="9"/>
      <c r="Y3746" s="9"/>
      <c r="Z3746" s="9"/>
      <c r="AA3746" s="9"/>
    </row>
    <row r="3747">
      <c r="A3747" s="9"/>
      <c r="B3747" s="9"/>
      <c r="C3747" s="9"/>
      <c r="D3747" s="9"/>
      <c r="E3747" s="9"/>
      <c r="F3747" s="9"/>
      <c r="G3747" s="10"/>
      <c r="H3747" s="9"/>
      <c r="I3747" s="15"/>
      <c r="J3747" s="9"/>
      <c r="K3747" s="9"/>
      <c r="L3747" s="9"/>
      <c r="M3747" s="9"/>
      <c r="N3747" s="9"/>
      <c r="O3747" s="9"/>
      <c r="P3747" s="9"/>
      <c r="Q3747" s="9"/>
      <c r="R3747" s="9"/>
      <c r="S3747" s="9"/>
      <c r="T3747" s="9"/>
      <c r="U3747" s="9"/>
      <c r="V3747" s="9"/>
      <c r="W3747" s="9"/>
      <c r="X3747" s="9"/>
      <c r="Y3747" s="9"/>
      <c r="Z3747" s="9"/>
      <c r="AA3747" s="9"/>
    </row>
    <row r="3748">
      <c r="A3748" s="9"/>
      <c r="B3748" s="9"/>
      <c r="C3748" s="9"/>
      <c r="D3748" s="9"/>
      <c r="E3748" s="9"/>
      <c r="F3748" s="9"/>
      <c r="G3748" s="10"/>
      <c r="H3748" s="9"/>
      <c r="I3748" s="15"/>
      <c r="J3748" s="9"/>
      <c r="K3748" s="9"/>
      <c r="L3748" s="9"/>
      <c r="M3748" s="9"/>
      <c r="N3748" s="9"/>
      <c r="O3748" s="9"/>
      <c r="P3748" s="9"/>
      <c r="Q3748" s="9"/>
      <c r="R3748" s="9"/>
      <c r="S3748" s="9"/>
      <c r="T3748" s="9"/>
      <c r="U3748" s="9"/>
      <c r="V3748" s="9"/>
      <c r="W3748" s="9"/>
      <c r="X3748" s="9"/>
      <c r="Y3748" s="9"/>
      <c r="Z3748" s="9"/>
      <c r="AA3748" s="9"/>
    </row>
    <row r="3749">
      <c r="A3749" s="9"/>
      <c r="B3749" s="9"/>
      <c r="C3749" s="9"/>
      <c r="D3749" s="9"/>
      <c r="E3749" s="9"/>
      <c r="F3749" s="9"/>
      <c r="G3749" s="10"/>
      <c r="H3749" s="9"/>
      <c r="I3749" s="15"/>
      <c r="J3749" s="9"/>
      <c r="K3749" s="9"/>
      <c r="L3749" s="9"/>
      <c r="M3749" s="9"/>
      <c r="N3749" s="9"/>
      <c r="O3749" s="9"/>
      <c r="P3749" s="9"/>
      <c r="Q3749" s="9"/>
      <c r="R3749" s="9"/>
      <c r="S3749" s="9"/>
      <c r="T3749" s="9"/>
      <c r="U3749" s="9"/>
      <c r="V3749" s="9"/>
      <c r="W3749" s="9"/>
      <c r="X3749" s="9"/>
      <c r="Y3749" s="9"/>
      <c r="Z3749" s="9"/>
      <c r="AA3749" s="9"/>
    </row>
    <row r="3750">
      <c r="A3750" s="9"/>
      <c r="B3750" s="9"/>
      <c r="C3750" s="9"/>
      <c r="D3750" s="9"/>
      <c r="E3750" s="9"/>
      <c r="F3750" s="9"/>
      <c r="G3750" s="10"/>
      <c r="H3750" s="9"/>
      <c r="I3750" s="15"/>
      <c r="J3750" s="9"/>
      <c r="K3750" s="9"/>
      <c r="L3750" s="9"/>
      <c r="M3750" s="9"/>
      <c r="N3750" s="9"/>
      <c r="O3750" s="9"/>
      <c r="P3750" s="9"/>
      <c r="Q3750" s="9"/>
      <c r="R3750" s="9"/>
      <c r="S3750" s="9"/>
      <c r="T3750" s="9"/>
      <c r="U3750" s="9"/>
      <c r="V3750" s="9"/>
      <c r="W3750" s="9"/>
      <c r="X3750" s="9"/>
      <c r="Y3750" s="9"/>
      <c r="Z3750" s="9"/>
      <c r="AA3750" s="9"/>
    </row>
    <row r="3751">
      <c r="A3751" s="9"/>
      <c r="B3751" s="9"/>
      <c r="C3751" s="9"/>
      <c r="D3751" s="9"/>
      <c r="E3751" s="9"/>
      <c r="F3751" s="9"/>
      <c r="G3751" s="10"/>
      <c r="H3751" s="9"/>
      <c r="I3751" s="15"/>
      <c r="J3751" s="9"/>
      <c r="K3751" s="9"/>
      <c r="L3751" s="9"/>
      <c r="M3751" s="9"/>
      <c r="N3751" s="9"/>
      <c r="O3751" s="9"/>
      <c r="P3751" s="9"/>
      <c r="Q3751" s="9"/>
      <c r="R3751" s="9"/>
      <c r="S3751" s="9"/>
      <c r="T3751" s="9"/>
      <c r="U3751" s="9"/>
      <c r="V3751" s="9"/>
      <c r="W3751" s="9"/>
      <c r="X3751" s="9"/>
      <c r="Y3751" s="9"/>
      <c r="Z3751" s="9"/>
      <c r="AA3751" s="9"/>
    </row>
    <row r="3752">
      <c r="A3752" s="9"/>
      <c r="B3752" s="9"/>
      <c r="C3752" s="9"/>
      <c r="D3752" s="9"/>
      <c r="E3752" s="9"/>
      <c r="F3752" s="9"/>
      <c r="G3752" s="10"/>
      <c r="H3752" s="9"/>
      <c r="I3752" s="15"/>
      <c r="J3752" s="9"/>
      <c r="K3752" s="9"/>
      <c r="L3752" s="9"/>
      <c r="M3752" s="9"/>
      <c r="N3752" s="9"/>
      <c r="O3752" s="9"/>
      <c r="P3752" s="9"/>
      <c r="Q3752" s="9"/>
      <c r="R3752" s="9"/>
      <c r="S3752" s="9"/>
      <c r="T3752" s="9"/>
      <c r="U3752" s="9"/>
      <c r="V3752" s="9"/>
      <c r="W3752" s="9"/>
      <c r="X3752" s="9"/>
      <c r="Y3752" s="9"/>
      <c r="Z3752" s="9"/>
      <c r="AA3752" s="9"/>
    </row>
    <row r="3753">
      <c r="A3753" s="9"/>
      <c r="B3753" s="9"/>
      <c r="C3753" s="9"/>
      <c r="D3753" s="9"/>
      <c r="E3753" s="9"/>
      <c r="F3753" s="9"/>
      <c r="G3753" s="10"/>
      <c r="H3753" s="9"/>
      <c r="I3753" s="15"/>
      <c r="J3753" s="9"/>
      <c r="K3753" s="9"/>
      <c r="L3753" s="9"/>
      <c r="M3753" s="9"/>
      <c r="N3753" s="9"/>
      <c r="O3753" s="9"/>
      <c r="P3753" s="9"/>
      <c r="Q3753" s="9"/>
      <c r="R3753" s="9"/>
      <c r="S3753" s="9"/>
      <c r="T3753" s="9"/>
      <c r="U3753" s="9"/>
      <c r="V3753" s="9"/>
      <c r="W3753" s="9"/>
      <c r="X3753" s="9"/>
      <c r="Y3753" s="9"/>
      <c r="Z3753" s="9"/>
      <c r="AA3753" s="9"/>
    </row>
    <row r="3754">
      <c r="A3754" s="9"/>
      <c r="B3754" s="9"/>
      <c r="C3754" s="9"/>
      <c r="D3754" s="9"/>
      <c r="E3754" s="9"/>
      <c r="F3754" s="9"/>
      <c r="G3754" s="10"/>
      <c r="H3754" s="9"/>
      <c r="I3754" s="15"/>
      <c r="J3754" s="9"/>
      <c r="K3754" s="9"/>
      <c r="L3754" s="9"/>
      <c r="M3754" s="9"/>
      <c r="N3754" s="9"/>
      <c r="O3754" s="9"/>
      <c r="P3754" s="9"/>
      <c r="Q3754" s="9"/>
      <c r="R3754" s="9"/>
      <c r="S3754" s="9"/>
      <c r="T3754" s="9"/>
      <c r="U3754" s="9"/>
      <c r="V3754" s="9"/>
      <c r="W3754" s="9"/>
      <c r="X3754" s="9"/>
      <c r="Y3754" s="9"/>
      <c r="Z3754" s="9"/>
      <c r="AA3754" s="9"/>
    </row>
    <row r="3755">
      <c r="A3755" s="9"/>
      <c r="B3755" s="9"/>
      <c r="C3755" s="9"/>
      <c r="D3755" s="9"/>
      <c r="E3755" s="9"/>
      <c r="F3755" s="9"/>
      <c r="G3755" s="10"/>
      <c r="H3755" s="9"/>
      <c r="I3755" s="15"/>
      <c r="J3755" s="9"/>
      <c r="K3755" s="9"/>
      <c r="L3755" s="9"/>
      <c r="M3755" s="9"/>
      <c r="N3755" s="9"/>
      <c r="O3755" s="9"/>
      <c r="P3755" s="9"/>
      <c r="Q3755" s="9"/>
      <c r="R3755" s="9"/>
      <c r="S3755" s="9"/>
      <c r="T3755" s="9"/>
      <c r="U3755" s="9"/>
      <c r="V3755" s="9"/>
      <c r="W3755" s="9"/>
      <c r="X3755" s="9"/>
      <c r="Y3755" s="9"/>
      <c r="Z3755" s="9"/>
      <c r="AA3755" s="9"/>
    </row>
    <row r="3756">
      <c r="A3756" s="9"/>
      <c r="B3756" s="9"/>
      <c r="C3756" s="9"/>
      <c r="D3756" s="9"/>
      <c r="E3756" s="9"/>
      <c r="F3756" s="9"/>
      <c r="G3756" s="10"/>
      <c r="H3756" s="9"/>
      <c r="I3756" s="15"/>
      <c r="J3756" s="9"/>
      <c r="K3756" s="9"/>
      <c r="L3756" s="9"/>
      <c r="M3756" s="9"/>
      <c r="N3756" s="9"/>
      <c r="O3756" s="9"/>
      <c r="P3756" s="9"/>
      <c r="Q3756" s="9"/>
      <c r="R3756" s="9"/>
      <c r="S3756" s="9"/>
      <c r="T3756" s="9"/>
      <c r="U3756" s="9"/>
      <c r="V3756" s="9"/>
      <c r="W3756" s="9"/>
      <c r="X3756" s="9"/>
      <c r="Y3756" s="9"/>
      <c r="Z3756" s="9"/>
      <c r="AA3756" s="9"/>
    </row>
    <row r="3757">
      <c r="A3757" s="9"/>
      <c r="B3757" s="9"/>
      <c r="C3757" s="9"/>
      <c r="D3757" s="9"/>
      <c r="E3757" s="9"/>
      <c r="F3757" s="9"/>
      <c r="G3757" s="10"/>
      <c r="H3757" s="9"/>
      <c r="I3757" s="15"/>
      <c r="J3757" s="9"/>
      <c r="K3757" s="9"/>
      <c r="L3757" s="9"/>
      <c r="M3757" s="9"/>
      <c r="N3757" s="9"/>
      <c r="O3757" s="9"/>
      <c r="P3757" s="9"/>
      <c r="Q3757" s="9"/>
      <c r="R3757" s="9"/>
      <c r="S3757" s="9"/>
      <c r="T3757" s="9"/>
      <c r="U3757" s="9"/>
      <c r="V3757" s="9"/>
      <c r="W3757" s="9"/>
      <c r="X3757" s="9"/>
      <c r="Y3757" s="9"/>
      <c r="Z3757" s="9"/>
      <c r="AA3757" s="9"/>
    </row>
    <row r="3758">
      <c r="A3758" s="9"/>
      <c r="B3758" s="9"/>
      <c r="C3758" s="9"/>
      <c r="D3758" s="9"/>
      <c r="E3758" s="9"/>
      <c r="F3758" s="9"/>
      <c r="G3758" s="10"/>
      <c r="H3758" s="9"/>
      <c r="I3758" s="15"/>
      <c r="J3758" s="9"/>
      <c r="K3758" s="9"/>
      <c r="L3758" s="9"/>
      <c r="M3758" s="9"/>
      <c r="N3758" s="9"/>
      <c r="O3758" s="9"/>
      <c r="P3758" s="9"/>
      <c r="Q3758" s="9"/>
      <c r="R3758" s="9"/>
      <c r="S3758" s="9"/>
      <c r="T3758" s="9"/>
      <c r="U3758" s="9"/>
      <c r="V3758" s="9"/>
      <c r="W3758" s="9"/>
      <c r="X3758" s="9"/>
      <c r="Y3758" s="9"/>
      <c r="Z3758" s="9"/>
      <c r="AA3758" s="9"/>
    </row>
    <row r="3759">
      <c r="A3759" s="9"/>
      <c r="B3759" s="9"/>
      <c r="C3759" s="9"/>
      <c r="D3759" s="9"/>
      <c r="E3759" s="9"/>
      <c r="F3759" s="9"/>
      <c r="G3759" s="10"/>
      <c r="H3759" s="9"/>
      <c r="I3759" s="15"/>
      <c r="J3759" s="9"/>
      <c r="K3759" s="9"/>
      <c r="L3759" s="9"/>
      <c r="M3759" s="9"/>
      <c r="N3759" s="9"/>
      <c r="O3759" s="9"/>
      <c r="P3759" s="9"/>
      <c r="Q3759" s="9"/>
      <c r="R3759" s="9"/>
      <c r="S3759" s="9"/>
      <c r="T3759" s="9"/>
      <c r="U3759" s="9"/>
      <c r="V3759" s="9"/>
      <c r="W3759" s="9"/>
      <c r="X3759" s="9"/>
      <c r="Y3759" s="9"/>
      <c r="Z3759" s="9"/>
      <c r="AA3759" s="9"/>
    </row>
    <row r="3760">
      <c r="A3760" s="9"/>
      <c r="B3760" s="9"/>
      <c r="C3760" s="9"/>
      <c r="D3760" s="9"/>
      <c r="E3760" s="9"/>
      <c r="F3760" s="9"/>
      <c r="G3760" s="10"/>
      <c r="H3760" s="9"/>
      <c r="I3760" s="15"/>
      <c r="J3760" s="9"/>
      <c r="K3760" s="9"/>
      <c r="L3760" s="9"/>
      <c r="M3760" s="9"/>
      <c r="N3760" s="9"/>
      <c r="O3760" s="9"/>
      <c r="P3760" s="9"/>
      <c r="Q3760" s="9"/>
      <c r="R3760" s="9"/>
      <c r="S3760" s="9"/>
      <c r="T3760" s="9"/>
      <c r="U3760" s="9"/>
      <c r="V3760" s="9"/>
      <c r="W3760" s="9"/>
      <c r="X3760" s="9"/>
      <c r="Y3760" s="9"/>
      <c r="Z3760" s="9"/>
      <c r="AA3760" s="9"/>
    </row>
    <row r="3761">
      <c r="A3761" s="9"/>
      <c r="B3761" s="9"/>
      <c r="C3761" s="9"/>
      <c r="D3761" s="9"/>
      <c r="E3761" s="9"/>
      <c r="F3761" s="9"/>
      <c r="G3761" s="10"/>
      <c r="H3761" s="9"/>
      <c r="I3761" s="15"/>
      <c r="J3761" s="9"/>
      <c r="K3761" s="9"/>
      <c r="L3761" s="9"/>
      <c r="M3761" s="9"/>
      <c r="N3761" s="9"/>
      <c r="O3761" s="9"/>
      <c r="P3761" s="9"/>
      <c r="Q3761" s="9"/>
      <c r="R3761" s="9"/>
      <c r="S3761" s="9"/>
      <c r="T3761" s="9"/>
      <c r="U3761" s="9"/>
      <c r="V3761" s="9"/>
      <c r="W3761" s="9"/>
      <c r="X3761" s="9"/>
      <c r="Y3761" s="9"/>
      <c r="Z3761" s="9"/>
      <c r="AA3761" s="9"/>
    </row>
    <row r="3762">
      <c r="A3762" s="9"/>
      <c r="B3762" s="9"/>
      <c r="C3762" s="9"/>
      <c r="D3762" s="9"/>
      <c r="E3762" s="9"/>
      <c r="F3762" s="9"/>
      <c r="G3762" s="10"/>
      <c r="H3762" s="9"/>
      <c r="I3762" s="15"/>
      <c r="J3762" s="9"/>
      <c r="K3762" s="9"/>
      <c r="L3762" s="9"/>
      <c r="M3762" s="9"/>
      <c r="N3762" s="9"/>
      <c r="O3762" s="9"/>
      <c r="P3762" s="9"/>
      <c r="Q3762" s="9"/>
      <c r="R3762" s="9"/>
      <c r="S3762" s="9"/>
      <c r="T3762" s="9"/>
      <c r="U3762" s="9"/>
      <c r="V3762" s="9"/>
      <c r="W3762" s="9"/>
      <c r="X3762" s="9"/>
      <c r="Y3762" s="9"/>
      <c r="Z3762" s="9"/>
      <c r="AA3762" s="9"/>
    </row>
    <row r="3763">
      <c r="A3763" s="9"/>
      <c r="B3763" s="9"/>
      <c r="C3763" s="9"/>
      <c r="D3763" s="9"/>
      <c r="E3763" s="9"/>
      <c r="F3763" s="9"/>
      <c r="G3763" s="10"/>
      <c r="H3763" s="9"/>
      <c r="I3763" s="15"/>
      <c r="J3763" s="9"/>
      <c r="K3763" s="9"/>
      <c r="L3763" s="9"/>
      <c r="M3763" s="9"/>
      <c r="N3763" s="9"/>
      <c r="O3763" s="9"/>
      <c r="P3763" s="9"/>
      <c r="Q3763" s="9"/>
      <c r="R3763" s="9"/>
      <c r="S3763" s="9"/>
      <c r="T3763" s="9"/>
      <c r="U3763" s="9"/>
      <c r="V3763" s="9"/>
      <c r="W3763" s="9"/>
      <c r="X3763" s="9"/>
      <c r="Y3763" s="9"/>
      <c r="Z3763" s="9"/>
      <c r="AA3763" s="9"/>
    </row>
    <row r="3764">
      <c r="A3764" s="9"/>
      <c r="B3764" s="9"/>
      <c r="C3764" s="9"/>
      <c r="D3764" s="9"/>
      <c r="E3764" s="9"/>
      <c r="F3764" s="9"/>
      <c r="G3764" s="10"/>
      <c r="H3764" s="9"/>
      <c r="I3764" s="15"/>
      <c r="J3764" s="9"/>
      <c r="K3764" s="9"/>
      <c r="L3764" s="9"/>
      <c r="M3764" s="9"/>
      <c r="N3764" s="9"/>
      <c r="O3764" s="9"/>
      <c r="P3764" s="9"/>
      <c r="Q3764" s="9"/>
      <c r="R3764" s="9"/>
      <c r="S3764" s="9"/>
      <c r="T3764" s="9"/>
      <c r="U3764" s="9"/>
      <c r="V3764" s="9"/>
      <c r="W3764" s="9"/>
      <c r="X3764" s="9"/>
      <c r="Y3764" s="9"/>
      <c r="Z3764" s="9"/>
      <c r="AA3764" s="9"/>
    </row>
    <row r="3765">
      <c r="A3765" s="9"/>
      <c r="B3765" s="9"/>
      <c r="C3765" s="9"/>
      <c r="D3765" s="9"/>
      <c r="E3765" s="9"/>
      <c r="F3765" s="9"/>
      <c r="G3765" s="10"/>
      <c r="H3765" s="9"/>
      <c r="I3765" s="15"/>
      <c r="J3765" s="9"/>
      <c r="K3765" s="9"/>
      <c r="L3765" s="9"/>
      <c r="M3765" s="9"/>
      <c r="N3765" s="9"/>
      <c r="O3765" s="9"/>
      <c r="P3765" s="9"/>
      <c r="Q3765" s="9"/>
      <c r="R3765" s="9"/>
      <c r="S3765" s="9"/>
      <c r="T3765" s="9"/>
      <c r="U3765" s="9"/>
      <c r="V3765" s="9"/>
      <c r="W3765" s="9"/>
      <c r="X3765" s="9"/>
      <c r="Y3765" s="9"/>
      <c r="Z3765" s="9"/>
      <c r="AA3765" s="9"/>
    </row>
    <row r="3766">
      <c r="A3766" s="9"/>
      <c r="B3766" s="9"/>
      <c r="C3766" s="9"/>
      <c r="D3766" s="9"/>
      <c r="E3766" s="9"/>
      <c r="F3766" s="9"/>
      <c r="G3766" s="10"/>
      <c r="H3766" s="9"/>
      <c r="I3766" s="15"/>
      <c r="J3766" s="9"/>
      <c r="K3766" s="9"/>
      <c r="L3766" s="9"/>
      <c r="M3766" s="9"/>
      <c r="N3766" s="9"/>
      <c r="O3766" s="9"/>
      <c r="P3766" s="9"/>
      <c r="Q3766" s="9"/>
      <c r="R3766" s="9"/>
      <c r="S3766" s="9"/>
      <c r="T3766" s="9"/>
      <c r="U3766" s="9"/>
      <c r="V3766" s="9"/>
      <c r="W3766" s="9"/>
      <c r="X3766" s="9"/>
      <c r="Y3766" s="9"/>
      <c r="Z3766" s="9"/>
      <c r="AA3766" s="9"/>
    </row>
    <row r="3767">
      <c r="A3767" s="9"/>
      <c r="B3767" s="9"/>
      <c r="C3767" s="9"/>
      <c r="D3767" s="9"/>
      <c r="E3767" s="9"/>
      <c r="F3767" s="9"/>
      <c r="G3767" s="10"/>
      <c r="H3767" s="9"/>
      <c r="I3767" s="15"/>
      <c r="J3767" s="9"/>
      <c r="K3767" s="9"/>
      <c r="L3767" s="9"/>
      <c r="M3767" s="9"/>
      <c r="N3767" s="9"/>
      <c r="O3767" s="9"/>
      <c r="P3767" s="9"/>
      <c r="Q3767" s="9"/>
      <c r="R3767" s="9"/>
      <c r="S3767" s="9"/>
      <c r="T3767" s="9"/>
      <c r="U3767" s="9"/>
      <c r="V3767" s="9"/>
      <c r="W3767" s="9"/>
      <c r="X3767" s="9"/>
      <c r="Y3767" s="9"/>
      <c r="Z3767" s="9"/>
      <c r="AA3767" s="9"/>
    </row>
    <row r="3768">
      <c r="A3768" s="9"/>
      <c r="B3768" s="9"/>
      <c r="C3768" s="9"/>
      <c r="D3768" s="9"/>
      <c r="E3768" s="9"/>
      <c r="F3768" s="9"/>
      <c r="G3768" s="10"/>
      <c r="H3768" s="9"/>
      <c r="I3768" s="15"/>
      <c r="J3768" s="9"/>
      <c r="K3768" s="9"/>
      <c r="L3768" s="9"/>
      <c r="M3768" s="9"/>
      <c r="N3768" s="9"/>
      <c r="O3768" s="9"/>
      <c r="P3768" s="9"/>
      <c r="Q3768" s="9"/>
      <c r="R3768" s="9"/>
      <c r="S3768" s="9"/>
      <c r="T3768" s="9"/>
      <c r="U3768" s="9"/>
      <c r="V3768" s="9"/>
      <c r="W3768" s="9"/>
      <c r="X3768" s="9"/>
      <c r="Y3768" s="9"/>
      <c r="Z3768" s="9"/>
      <c r="AA3768" s="9"/>
    </row>
    <row r="3769">
      <c r="A3769" s="9"/>
      <c r="B3769" s="9"/>
      <c r="C3769" s="9"/>
      <c r="D3769" s="9"/>
      <c r="E3769" s="9"/>
      <c r="F3769" s="9"/>
      <c r="G3769" s="10"/>
      <c r="H3769" s="9"/>
      <c r="I3769" s="15"/>
      <c r="J3769" s="9"/>
      <c r="K3769" s="9"/>
      <c r="L3769" s="9"/>
      <c r="M3769" s="9"/>
      <c r="N3769" s="9"/>
      <c r="O3769" s="9"/>
      <c r="P3769" s="9"/>
      <c r="Q3769" s="9"/>
      <c r="R3769" s="9"/>
      <c r="S3769" s="9"/>
      <c r="T3769" s="9"/>
      <c r="U3769" s="9"/>
      <c r="V3769" s="9"/>
      <c r="W3769" s="9"/>
      <c r="X3769" s="9"/>
      <c r="Y3769" s="9"/>
      <c r="Z3769" s="9"/>
      <c r="AA3769" s="9"/>
    </row>
    <row r="3770">
      <c r="A3770" s="9"/>
      <c r="B3770" s="9"/>
      <c r="C3770" s="9"/>
      <c r="D3770" s="9"/>
      <c r="E3770" s="9"/>
      <c r="F3770" s="9"/>
      <c r="G3770" s="10"/>
      <c r="H3770" s="9"/>
      <c r="I3770" s="15"/>
      <c r="J3770" s="9"/>
      <c r="K3770" s="9"/>
      <c r="L3770" s="9"/>
      <c r="M3770" s="9"/>
      <c r="N3770" s="9"/>
      <c r="O3770" s="9"/>
      <c r="P3770" s="9"/>
      <c r="Q3770" s="9"/>
      <c r="R3770" s="9"/>
      <c r="S3770" s="9"/>
      <c r="T3770" s="9"/>
      <c r="U3770" s="9"/>
      <c r="V3770" s="9"/>
      <c r="W3770" s="9"/>
      <c r="X3770" s="9"/>
      <c r="Y3770" s="9"/>
      <c r="Z3770" s="9"/>
      <c r="AA3770" s="9"/>
    </row>
    <row r="3771">
      <c r="A3771" s="9"/>
      <c r="B3771" s="9"/>
      <c r="C3771" s="9"/>
      <c r="D3771" s="9"/>
      <c r="E3771" s="9"/>
      <c r="F3771" s="9"/>
      <c r="G3771" s="10"/>
      <c r="H3771" s="9"/>
      <c r="I3771" s="15"/>
      <c r="J3771" s="9"/>
      <c r="K3771" s="9"/>
      <c r="L3771" s="9"/>
      <c r="M3771" s="9"/>
      <c r="N3771" s="9"/>
      <c r="O3771" s="9"/>
      <c r="P3771" s="9"/>
      <c r="Q3771" s="9"/>
      <c r="R3771" s="9"/>
      <c r="S3771" s="9"/>
      <c r="T3771" s="9"/>
      <c r="U3771" s="9"/>
      <c r="V3771" s="9"/>
      <c r="W3771" s="9"/>
      <c r="X3771" s="9"/>
      <c r="Y3771" s="9"/>
      <c r="Z3771" s="9"/>
      <c r="AA3771" s="9"/>
    </row>
    <row r="3772">
      <c r="A3772" s="9"/>
      <c r="B3772" s="9"/>
      <c r="C3772" s="9"/>
      <c r="D3772" s="9"/>
      <c r="E3772" s="9"/>
      <c r="F3772" s="9"/>
      <c r="G3772" s="10"/>
      <c r="H3772" s="9"/>
      <c r="I3772" s="15"/>
      <c r="J3772" s="9"/>
      <c r="K3772" s="9"/>
      <c r="L3772" s="9"/>
      <c r="M3772" s="9"/>
      <c r="N3772" s="9"/>
      <c r="O3772" s="9"/>
      <c r="P3772" s="9"/>
      <c r="Q3772" s="9"/>
      <c r="R3772" s="9"/>
      <c r="S3772" s="9"/>
      <c r="T3772" s="9"/>
      <c r="U3772" s="9"/>
      <c r="V3772" s="9"/>
      <c r="W3772" s="9"/>
      <c r="X3772" s="9"/>
      <c r="Y3772" s="9"/>
      <c r="Z3772" s="9"/>
      <c r="AA3772" s="9"/>
    </row>
    <row r="3773">
      <c r="A3773" s="9"/>
      <c r="B3773" s="9"/>
      <c r="C3773" s="9"/>
      <c r="D3773" s="9"/>
      <c r="E3773" s="9"/>
      <c r="F3773" s="9"/>
      <c r="G3773" s="10"/>
      <c r="H3773" s="9"/>
      <c r="I3773" s="15"/>
      <c r="J3773" s="9"/>
      <c r="K3773" s="9"/>
      <c r="L3773" s="9"/>
      <c r="M3773" s="9"/>
      <c r="N3773" s="9"/>
      <c r="O3773" s="9"/>
      <c r="P3773" s="9"/>
      <c r="Q3773" s="9"/>
      <c r="R3773" s="9"/>
      <c r="S3773" s="9"/>
      <c r="T3773" s="9"/>
      <c r="U3773" s="9"/>
      <c r="V3773" s="9"/>
      <c r="W3773" s="9"/>
      <c r="X3773" s="9"/>
      <c r="Y3773" s="9"/>
      <c r="Z3773" s="9"/>
      <c r="AA3773" s="9"/>
    </row>
    <row r="3774">
      <c r="A3774" s="9"/>
      <c r="B3774" s="9"/>
      <c r="C3774" s="9"/>
      <c r="D3774" s="9"/>
      <c r="E3774" s="9"/>
      <c r="F3774" s="9"/>
      <c r="G3774" s="10"/>
      <c r="H3774" s="9"/>
      <c r="I3774" s="15"/>
      <c r="J3774" s="9"/>
      <c r="K3774" s="9"/>
      <c r="L3774" s="9"/>
      <c r="M3774" s="9"/>
      <c r="N3774" s="9"/>
      <c r="O3774" s="9"/>
      <c r="P3774" s="9"/>
      <c r="Q3774" s="9"/>
      <c r="R3774" s="9"/>
      <c r="S3774" s="9"/>
      <c r="T3774" s="9"/>
      <c r="U3774" s="9"/>
      <c r="V3774" s="9"/>
      <c r="W3774" s="9"/>
      <c r="X3774" s="9"/>
      <c r="Y3774" s="9"/>
      <c r="Z3774" s="9"/>
      <c r="AA3774" s="9"/>
    </row>
    <row r="3775">
      <c r="A3775" s="9"/>
      <c r="B3775" s="9"/>
      <c r="C3775" s="9"/>
      <c r="D3775" s="9"/>
      <c r="E3775" s="9"/>
      <c r="F3775" s="9"/>
      <c r="G3775" s="10"/>
      <c r="H3775" s="9"/>
      <c r="I3775" s="15"/>
      <c r="J3775" s="9"/>
      <c r="K3775" s="9"/>
      <c r="L3775" s="9"/>
      <c r="M3775" s="9"/>
      <c r="N3775" s="9"/>
      <c r="O3775" s="9"/>
      <c r="P3775" s="9"/>
      <c r="Q3775" s="9"/>
      <c r="R3775" s="9"/>
      <c r="S3775" s="9"/>
      <c r="T3775" s="9"/>
      <c r="U3775" s="9"/>
      <c r="V3775" s="9"/>
      <c r="W3775" s="9"/>
      <c r="X3775" s="9"/>
      <c r="Y3775" s="9"/>
      <c r="Z3775" s="9"/>
      <c r="AA3775" s="9"/>
    </row>
    <row r="3776">
      <c r="A3776" s="9"/>
      <c r="B3776" s="9"/>
      <c r="C3776" s="9"/>
      <c r="D3776" s="9"/>
      <c r="E3776" s="9"/>
      <c r="F3776" s="9"/>
      <c r="G3776" s="10"/>
      <c r="H3776" s="9"/>
      <c r="I3776" s="15"/>
      <c r="J3776" s="9"/>
      <c r="K3776" s="9"/>
      <c r="L3776" s="9"/>
      <c r="M3776" s="9"/>
      <c r="N3776" s="9"/>
      <c r="O3776" s="9"/>
      <c r="P3776" s="9"/>
      <c r="Q3776" s="9"/>
      <c r="R3776" s="9"/>
      <c r="S3776" s="9"/>
      <c r="T3776" s="9"/>
      <c r="U3776" s="9"/>
      <c r="V3776" s="9"/>
      <c r="W3776" s="9"/>
      <c r="X3776" s="9"/>
      <c r="Y3776" s="9"/>
      <c r="Z3776" s="9"/>
      <c r="AA3776" s="9"/>
    </row>
    <row r="3777">
      <c r="A3777" s="9"/>
      <c r="B3777" s="9"/>
      <c r="C3777" s="9"/>
      <c r="D3777" s="9"/>
      <c r="E3777" s="9"/>
      <c r="F3777" s="9"/>
      <c r="G3777" s="10"/>
      <c r="H3777" s="9"/>
      <c r="I3777" s="15"/>
      <c r="J3777" s="9"/>
      <c r="K3777" s="9"/>
      <c r="L3777" s="9"/>
      <c r="M3777" s="9"/>
      <c r="N3777" s="9"/>
      <c r="O3777" s="9"/>
      <c r="P3777" s="9"/>
      <c r="Q3777" s="9"/>
      <c r="R3777" s="9"/>
      <c r="S3777" s="9"/>
      <c r="T3777" s="9"/>
      <c r="U3777" s="9"/>
      <c r="V3777" s="9"/>
      <c r="W3777" s="9"/>
      <c r="X3777" s="9"/>
      <c r="Y3777" s="9"/>
      <c r="Z3777" s="9"/>
      <c r="AA3777" s="9"/>
    </row>
    <row r="3778">
      <c r="A3778" s="9"/>
      <c r="B3778" s="9"/>
      <c r="C3778" s="9"/>
      <c r="D3778" s="9"/>
      <c r="E3778" s="9"/>
      <c r="F3778" s="9"/>
      <c r="G3778" s="10"/>
      <c r="H3778" s="9"/>
      <c r="I3778" s="15"/>
      <c r="J3778" s="9"/>
      <c r="K3778" s="9"/>
      <c r="L3778" s="9"/>
      <c r="M3778" s="9"/>
      <c r="N3778" s="9"/>
      <c r="O3778" s="9"/>
      <c r="P3778" s="9"/>
      <c r="Q3778" s="9"/>
      <c r="R3778" s="9"/>
      <c r="S3778" s="9"/>
      <c r="T3778" s="9"/>
      <c r="U3778" s="9"/>
      <c r="V3778" s="9"/>
      <c r="W3778" s="9"/>
      <c r="X3778" s="9"/>
      <c r="Y3778" s="9"/>
      <c r="Z3778" s="9"/>
      <c r="AA3778" s="9"/>
    </row>
    <row r="3779">
      <c r="A3779" s="9"/>
      <c r="B3779" s="9"/>
      <c r="C3779" s="9"/>
      <c r="D3779" s="9"/>
      <c r="E3779" s="9"/>
      <c r="F3779" s="9"/>
      <c r="G3779" s="10"/>
      <c r="H3779" s="9"/>
      <c r="I3779" s="15"/>
      <c r="J3779" s="9"/>
      <c r="K3779" s="9"/>
      <c r="L3779" s="9"/>
      <c r="M3779" s="9"/>
      <c r="N3779" s="9"/>
      <c r="O3779" s="9"/>
      <c r="P3779" s="9"/>
      <c r="Q3779" s="9"/>
      <c r="R3779" s="9"/>
      <c r="S3779" s="9"/>
      <c r="T3779" s="9"/>
      <c r="U3779" s="9"/>
      <c r="V3779" s="9"/>
      <c r="W3779" s="9"/>
      <c r="X3779" s="9"/>
      <c r="Y3779" s="9"/>
      <c r="Z3779" s="9"/>
      <c r="AA3779" s="9"/>
    </row>
    <row r="3780">
      <c r="A3780" s="9"/>
      <c r="B3780" s="9"/>
      <c r="C3780" s="9"/>
      <c r="D3780" s="9"/>
      <c r="E3780" s="9"/>
      <c r="F3780" s="9"/>
      <c r="G3780" s="10"/>
      <c r="H3780" s="9"/>
      <c r="I3780" s="15"/>
      <c r="J3780" s="9"/>
      <c r="K3780" s="9"/>
      <c r="L3780" s="9"/>
      <c r="M3780" s="9"/>
      <c r="N3780" s="9"/>
      <c r="O3780" s="9"/>
      <c r="P3780" s="9"/>
      <c r="Q3780" s="9"/>
      <c r="R3780" s="9"/>
      <c r="S3780" s="9"/>
      <c r="T3780" s="9"/>
      <c r="U3780" s="9"/>
      <c r="V3780" s="9"/>
      <c r="W3780" s="9"/>
      <c r="X3780" s="9"/>
      <c r="Y3780" s="9"/>
      <c r="Z3780" s="9"/>
      <c r="AA3780" s="9"/>
    </row>
    <row r="3781">
      <c r="A3781" s="9"/>
      <c r="B3781" s="9"/>
      <c r="C3781" s="9"/>
      <c r="D3781" s="9"/>
      <c r="E3781" s="9"/>
      <c r="F3781" s="9"/>
      <c r="G3781" s="10"/>
      <c r="H3781" s="9"/>
      <c r="I3781" s="15"/>
      <c r="J3781" s="9"/>
      <c r="K3781" s="9"/>
      <c r="L3781" s="9"/>
      <c r="M3781" s="9"/>
      <c r="N3781" s="9"/>
      <c r="O3781" s="9"/>
      <c r="P3781" s="9"/>
      <c r="Q3781" s="9"/>
      <c r="R3781" s="9"/>
      <c r="S3781" s="9"/>
      <c r="T3781" s="9"/>
      <c r="U3781" s="9"/>
      <c r="V3781" s="9"/>
      <c r="W3781" s="9"/>
      <c r="X3781" s="9"/>
      <c r="Y3781" s="9"/>
      <c r="Z3781" s="9"/>
      <c r="AA3781" s="9"/>
    </row>
    <row r="3782">
      <c r="A3782" s="9"/>
      <c r="B3782" s="9"/>
      <c r="C3782" s="9"/>
      <c r="D3782" s="9"/>
      <c r="E3782" s="9"/>
      <c r="F3782" s="9"/>
      <c r="G3782" s="10"/>
      <c r="H3782" s="9"/>
      <c r="I3782" s="15"/>
      <c r="J3782" s="9"/>
      <c r="K3782" s="9"/>
      <c r="L3782" s="9"/>
      <c r="M3782" s="9"/>
      <c r="N3782" s="9"/>
      <c r="O3782" s="9"/>
      <c r="P3782" s="9"/>
      <c r="Q3782" s="9"/>
      <c r="R3782" s="9"/>
      <c r="S3782" s="9"/>
      <c r="T3782" s="9"/>
      <c r="U3782" s="9"/>
      <c r="V3782" s="9"/>
      <c r="W3782" s="9"/>
      <c r="X3782" s="9"/>
      <c r="Y3782" s="9"/>
      <c r="Z3782" s="9"/>
      <c r="AA3782" s="9"/>
    </row>
    <row r="3783">
      <c r="A3783" s="9"/>
      <c r="B3783" s="9"/>
      <c r="C3783" s="9"/>
      <c r="D3783" s="9"/>
      <c r="E3783" s="9"/>
      <c r="F3783" s="9"/>
      <c r="G3783" s="10"/>
      <c r="H3783" s="9"/>
      <c r="I3783" s="15"/>
      <c r="J3783" s="9"/>
      <c r="K3783" s="9"/>
      <c r="L3783" s="9"/>
      <c r="M3783" s="9"/>
      <c r="N3783" s="9"/>
      <c r="O3783" s="9"/>
      <c r="P3783" s="9"/>
      <c r="Q3783" s="9"/>
      <c r="R3783" s="9"/>
      <c r="S3783" s="9"/>
      <c r="T3783" s="9"/>
      <c r="U3783" s="9"/>
      <c r="V3783" s="9"/>
      <c r="W3783" s="9"/>
      <c r="X3783" s="9"/>
      <c r="Y3783" s="9"/>
      <c r="Z3783" s="9"/>
      <c r="AA3783" s="9"/>
    </row>
    <row r="3784">
      <c r="A3784" s="9"/>
      <c r="B3784" s="9"/>
      <c r="C3784" s="9"/>
      <c r="D3784" s="9"/>
      <c r="E3784" s="9"/>
      <c r="F3784" s="9"/>
      <c r="G3784" s="10"/>
      <c r="H3784" s="9"/>
      <c r="I3784" s="15"/>
      <c r="J3784" s="9"/>
      <c r="K3784" s="9"/>
      <c r="L3784" s="9"/>
      <c r="M3784" s="9"/>
      <c r="N3784" s="9"/>
      <c r="O3784" s="9"/>
      <c r="P3784" s="9"/>
      <c r="Q3784" s="9"/>
      <c r="R3784" s="9"/>
      <c r="S3784" s="9"/>
      <c r="T3784" s="9"/>
      <c r="U3784" s="9"/>
      <c r="V3784" s="9"/>
      <c r="W3784" s="9"/>
      <c r="X3784" s="9"/>
      <c r="Y3784" s="9"/>
      <c r="Z3784" s="9"/>
      <c r="AA3784" s="9"/>
    </row>
    <row r="3785">
      <c r="A3785" s="9"/>
      <c r="B3785" s="9"/>
      <c r="C3785" s="9"/>
      <c r="D3785" s="9"/>
      <c r="E3785" s="9"/>
      <c r="F3785" s="9"/>
      <c r="G3785" s="10"/>
      <c r="H3785" s="9"/>
      <c r="I3785" s="15"/>
      <c r="J3785" s="9"/>
      <c r="K3785" s="9"/>
      <c r="L3785" s="9"/>
      <c r="M3785" s="9"/>
      <c r="N3785" s="9"/>
      <c r="O3785" s="9"/>
      <c r="P3785" s="9"/>
      <c r="Q3785" s="9"/>
      <c r="R3785" s="9"/>
      <c r="S3785" s="9"/>
      <c r="T3785" s="9"/>
      <c r="U3785" s="9"/>
      <c r="V3785" s="9"/>
      <c r="W3785" s="9"/>
      <c r="X3785" s="9"/>
      <c r="Y3785" s="9"/>
      <c r="Z3785" s="9"/>
      <c r="AA3785" s="9"/>
    </row>
    <row r="3786">
      <c r="A3786" s="9"/>
      <c r="B3786" s="9"/>
      <c r="C3786" s="9"/>
      <c r="D3786" s="9"/>
      <c r="E3786" s="9"/>
      <c r="F3786" s="9"/>
      <c r="G3786" s="10"/>
      <c r="H3786" s="9"/>
      <c r="I3786" s="15"/>
      <c r="J3786" s="9"/>
      <c r="K3786" s="9"/>
      <c r="L3786" s="9"/>
      <c r="M3786" s="9"/>
      <c r="N3786" s="9"/>
      <c r="O3786" s="9"/>
      <c r="P3786" s="9"/>
      <c r="Q3786" s="9"/>
      <c r="R3786" s="9"/>
      <c r="S3786" s="9"/>
      <c r="T3786" s="9"/>
      <c r="U3786" s="9"/>
      <c r="V3786" s="9"/>
      <c r="W3786" s="9"/>
      <c r="X3786" s="9"/>
      <c r="Y3786" s="9"/>
      <c r="Z3786" s="9"/>
      <c r="AA3786" s="9"/>
    </row>
    <row r="3787">
      <c r="A3787" s="9"/>
      <c r="B3787" s="9"/>
      <c r="C3787" s="9"/>
      <c r="D3787" s="9"/>
      <c r="E3787" s="9"/>
      <c r="F3787" s="9"/>
      <c r="G3787" s="10"/>
      <c r="H3787" s="9"/>
      <c r="I3787" s="15"/>
      <c r="J3787" s="9"/>
      <c r="K3787" s="9"/>
      <c r="L3787" s="9"/>
      <c r="M3787" s="9"/>
      <c r="N3787" s="9"/>
      <c r="O3787" s="9"/>
      <c r="P3787" s="9"/>
      <c r="Q3787" s="9"/>
      <c r="R3787" s="9"/>
      <c r="S3787" s="9"/>
      <c r="T3787" s="9"/>
      <c r="U3787" s="9"/>
      <c r="V3787" s="9"/>
      <c r="W3787" s="9"/>
      <c r="X3787" s="9"/>
      <c r="Y3787" s="9"/>
      <c r="Z3787" s="9"/>
      <c r="AA3787" s="9"/>
    </row>
    <row r="3788">
      <c r="A3788" s="9"/>
      <c r="B3788" s="9"/>
      <c r="C3788" s="9"/>
      <c r="D3788" s="9"/>
      <c r="E3788" s="9"/>
      <c r="F3788" s="9"/>
      <c r="G3788" s="10"/>
      <c r="H3788" s="9"/>
      <c r="I3788" s="15"/>
      <c r="J3788" s="9"/>
      <c r="K3788" s="9"/>
      <c r="L3788" s="9"/>
      <c r="M3788" s="9"/>
      <c r="N3788" s="9"/>
      <c r="O3788" s="9"/>
      <c r="P3788" s="9"/>
      <c r="Q3788" s="9"/>
      <c r="R3788" s="9"/>
      <c r="S3788" s="9"/>
      <c r="T3788" s="9"/>
      <c r="U3788" s="9"/>
      <c r="V3788" s="9"/>
      <c r="W3788" s="9"/>
      <c r="X3788" s="9"/>
      <c r="Y3788" s="9"/>
      <c r="Z3788" s="9"/>
      <c r="AA3788" s="9"/>
    </row>
    <row r="3789">
      <c r="A3789" s="9"/>
      <c r="B3789" s="9"/>
      <c r="C3789" s="9"/>
      <c r="D3789" s="9"/>
      <c r="E3789" s="9"/>
      <c r="F3789" s="9"/>
      <c r="G3789" s="10"/>
      <c r="H3789" s="9"/>
      <c r="I3789" s="15"/>
      <c r="J3789" s="9"/>
      <c r="K3789" s="9"/>
      <c r="L3789" s="9"/>
      <c r="M3789" s="9"/>
      <c r="N3789" s="9"/>
      <c r="O3789" s="9"/>
      <c r="P3789" s="9"/>
      <c r="Q3789" s="9"/>
      <c r="R3789" s="9"/>
      <c r="S3789" s="9"/>
      <c r="T3789" s="9"/>
      <c r="U3789" s="9"/>
      <c r="V3789" s="9"/>
      <c r="W3789" s="9"/>
      <c r="X3789" s="9"/>
      <c r="Y3789" s="9"/>
      <c r="Z3789" s="9"/>
      <c r="AA3789" s="9"/>
    </row>
    <row r="3790">
      <c r="A3790" s="9"/>
      <c r="B3790" s="9"/>
      <c r="C3790" s="9"/>
      <c r="D3790" s="9"/>
      <c r="E3790" s="9"/>
      <c r="F3790" s="9"/>
      <c r="G3790" s="10"/>
      <c r="H3790" s="9"/>
      <c r="I3790" s="15"/>
      <c r="J3790" s="9"/>
      <c r="K3790" s="9"/>
      <c r="L3790" s="9"/>
      <c r="M3790" s="9"/>
      <c r="N3790" s="9"/>
      <c r="O3790" s="9"/>
      <c r="P3790" s="9"/>
      <c r="Q3790" s="9"/>
      <c r="R3790" s="9"/>
      <c r="S3790" s="9"/>
      <c r="T3790" s="9"/>
      <c r="U3790" s="9"/>
      <c r="V3790" s="9"/>
      <c r="W3790" s="9"/>
      <c r="X3790" s="9"/>
      <c r="Y3790" s="9"/>
      <c r="Z3790" s="9"/>
      <c r="AA3790" s="9"/>
    </row>
    <row r="3791">
      <c r="A3791" s="9"/>
      <c r="B3791" s="9"/>
      <c r="C3791" s="9"/>
      <c r="D3791" s="9"/>
      <c r="E3791" s="9"/>
      <c r="F3791" s="9"/>
      <c r="G3791" s="10"/>
      <c r="H3791" s="9"/>
      <c r="I3791" s="15"/>
      <c r="J3791" s="9"/>
      <c r="K3791" s="9"/>
      <c r="L3791" s="9"/>
      <c r="M3791" s="9"/>
      <c r="N3791" s="9"/>
      <c r="O3791" s="9"/>
      <c r="P3791" s="9"/>
      <c r="Q3791" s="9"/>
      <c r="R3791" s="9"/>
      <c r="S3791" s="9"/>
      <c r="T3791" s="9"/>
      <c r="U3791" s="9"/>
      <c r="V3791" s="9"/>
      <c r="W3791" s="9"/>
      <c r="X3791" s="9"/>
      <c r="Y3791" s="9"/>
      <c r="Z3791" s="9"/>
      <c r="AA3791" s="9"/>
    </row>
    <row r="3792">
      <c r="A3792" s="9"/>
      <c r="B3792" s="9"/>
      <c r="C3792" s="9"/>
      <c r="D3792" s="9"/>
      <c r="E3792" s="9"/>
      <c r="F3792" s="9"/>
      <c r="G3792" s="10"/>
      <c r="H3792" s="9"/>
      <c r="I3792" s="15"/>
      <c r="J3792" s="9"/>
      <c r="K3792" s="9"/>
      <c r="L3792" s="9"/>
      <c r="M3792" s="9"/>
      <c r="N3792" s="9"/>
      <c r="O3792" s="9"/>
      <c r="P3792" s="9"/>
      <c r="Q3792" s="9"/>
      <c r="R3792" s="9"/>
      <c r="S3792" s="9"/>
      <c r="T3792" s="9"/>
      <c r="U3792" s="9"/>
      <c r="V3792" s="9"/>
      <c r="W3792" s="9"/>
      <c r="X3792" s="9"/>
      <c r="Y3792" s="9"/>
      <c r="Z3792" s="9"/>
      <c r="AA3792" s="9"/>
    </row>
    <row r="3793">
      <c r="A3793" s="9"/>
      <c r="B3793" s="9"/>
      <c r="C3793" s="9"/>
      <c r="D3793" s="9"/>
      <c r="E3793" s="9"/>
      <c r="F3793" s="9"/>
      <c r="G3793" s="10"/>
      <c r="H3793" s="9"/>
      <c r="I3793" s="15"/>
      <c r="J3793" s="9"/>
      <c r="K3793" s="9"/>
      <c r="L3793" s="9"/>
      <c r="M3793" s="9"/>
      <c r="N3793" s="9"/>
      <c r="O3793" s="9"/>
      <c r="P3793" s="9"/>
      <c r="Q3793" s="9"/>
      <c r="R3793" s="9"/>
      <c r="S3793" s="9"/>
      <c r="T3793" s="9"/>
      <c r="U3793" s="9"/>
      <c r="V3793" s="9"/>
      <c r="W3793" s="9"/>
      <c r="X3793" s="9"/>
      <c r="Y3793" s="9"/>
      <c r="Z3793" s="9"/>
      <c r="AA3793" s="9"/>
    </row>
    <row r="3794">
      <c r="A3794" s="9"/>
      <c r="B3794" s="9"/>
      <c r="C3794" s="9"/>
      <c r="D3794" s="9"/>
      <c r="E3794" s="9"/>
      <c r="F3794" s="9"/>
      <c r="G3794" s="10"/>
      <c r="H3794" s="9"/>
      <c r="I3794" s="15"/>
      <c r="J3794" s="9"/>
      <c r="K3794" s="9"/>
      <c r="L3794" s="9"/>
      <c r="M3794" s="9"/>
      <c r="N3794" s="9"/>
      <c r="O3794" s="9"/>
      <c r="P3794" s="9"/>
      <c r="Q3794" s="9"/>
      <c r="R3794" s="9"/>
      <c r="S3794" s="9"/>
      <c r="T3794" s="9"/>
      <c r="U3794" s="9"/>
      <c r="V3794" s="9"/>
      <c r="W3794" s="9"/>
      <c r="X3794" s="9"/>
      <c r="Y3794" s="9"/>
      <c r="Z3794" s="9"/>
      <c r="AA3794" s="9"/>
    </row>
    <row r="3795">
      <c r="A3795" s="9"/>
      <c r="B3795" s="9"/>
      <c r="C3795" s="9"/>
      <c r="D3795" s="9"/>
      <c r="E3795" s="9"/>
      <c r="F3795" s="9"/>
      <c r="G3795" s="10"/>
      <c r="H3795" s="9"/>
      <c r="I3795" s="15"/>
      <c r="J3795" s="9"/>
      <c r="K3795" s="9"/>
      <c r="L3795" s="9"/>
      <c r="M3795" s="9"/>
      <c r="N3795" s="9"/>
      <c r="O3795" s="9"/>
      <c r="P3795" s="9"/>
      <c r="Q3795" s="9"/>
      <c r="R3795" s="9"/>
      <c r="S3795" s="9"/>
      <c r="T3795" s="9"/>
      <c r="U3795" s="9"/>
      <c r="V3795" s="9"/>
      <c r="W3795" s="9"/>
      <c r="X3795" s="9"/>
      <c r="Y3795" s="9"/>
      <c r="Z3795" s="9"/>
      <c r="AA3795" s="9"/>
    </row>
    <row r="3796">
      <c r="A3796" s="9"/>
      <c r="B3796" s="9"/>
      <c r="C3796" s="9"/>
      <c r="D3796" s="9"/>
      <c r="E3796" s="9"/>
      <c r="F3796" s="9"/>
      <c r="G3796" s="10"/>
      <c r="H3796" s="9"/>
      <c r="I3796" s="15"/>
      <c r="J3796" s="9"/>
      <c r="K3796" s="9"/>
      <c r="L3796" s="9"/>
      <c r="M3796" s="9"/>
      <c r="N3796" s="9"/>
      <c r="O3796" s="9"/>
      <c r="P3796" s="9"/>
      <c r="Q3796" s="9"/>
      <c r="R3796" s="9"/>
      <c r="S3796" s="9"/>
      <c r="T3796" s="9"/>
      <c r="U3796" s="9"/>
      <c r="V3796" s="9"/>
      <c r="W3796" s="9"/>
      <c r="X3796" s="9"/>
      <c r="Y3796" s="9"/>
      <c r="Z3796" s="9"/>
      <c r="AA3796" s="9"/>
    </row>
    <row r="3797">
      <c r="A3797" s="9"/>
      <c r="B3797" s="9"/>
      <c r="C3797" s="9"/>
      <c r="D3797" s="9"/>
      <c r="E3797" s="9"/>
      <c r="F3797" s="9"/>
      <c r="G3797" s="10"/>
      <c r="H3797" s="9"/>
      <c r="I3797" s="15"/>
      <c r="J3797" s="9"/>
      <c r="K3797" s="9"/>
      <c r="L3797" s="9"/>
      <c r="M3797" s="9"/>
      <c r="N3797" s="9"/>
      <c r="O3797" s="9"/>
      <c r="P3797" s="9"/>
      <c r="Q3797" s="9"/>
      <c r="R3797" s="9"/>
      <c r="S3797" s="9"/>
      <c r="T3797" s="9"/>
      <c r="U3797" s="9"/>
      <c r="V3797" s="9"/>
      <c r="W3797" s="9"/>
      <c r="X3797" s="9"/>
      <c r="Y3797" s="9"/>
      <c r="Z3797" s="9"/>
      <c r="AA3797" s="9"/>
    </row>
    <row r="3798">
      <c r="A3798" s="9"/>
      <c r="B3798" s="9"/>
      <c r="C3798" s="9"/>
      <c r="D3798" s="9"/>
      <c r="E3798" s="9"/>
      <c r="F3798" s="9"/>
      <c r="G3798" s="10"/>
      <c r="H3798" s="9"/>
      <c r="I3798" s="15"/>
      <c r="J3798" s="9"/>
      <c r="K3798" s="9"/>
      <c r="L3798" s="9"/>
      <c r="M3798" s="9"/>
      <c r="N3798" s="9"/>
      <c r="O3798" s="9"/>
      <c r="P3798" s="9"/>
      <c r="Q3798" s="9"/>
      <c r="R3798" s="9"/>
      <c r="S3798" s="9"/>
      <c r="T3798" s="9"/>
      <c r="U3798" s="9"/>
      <c r="V3798" s="9"/>
      <c r="W3798" s="9"/>
      <c r="X3798" s="9"/>
      <c r="Y3798" s="9"/>
      <c r="Z3798" s="9"/>
      <c r="AA3798" s="9"/>
    </row>
    <row r="3799">
      <c r="A3799" s="9"/>
      <c r="B3799" s="9"/>
      <c r="C3799" s="9"/>
      <c r="D3799" s="9"/>
      <c r="E3799" s="9"/>
      <c r="F3799" s="9"/>
      <c r="G3799" s="10"/>
      <c r="H3799" s="9"/>
      <c r="I3799" s="15"/>
      <c r="J3799" s="9"/>
      <c r="K3799" s="9"/>
      <c r="L3799" s="9"/>
      <c r="M3799" s="9"/>
      <c r="N3799" s="9"/>
      <c r="O3799" s="9"/>
      <c r="P3799" s="9"/>
      <c r="Q3799" s="9"/>
      <c r="R3799" s="9"/>
      <c r="S3799" s="9"/>
      <c r="T3799" s="9"/>
      <c r="U3799" s="9"/>
      <c r="V3799" s="9"/>
      <c r="W3799" s="9"/>
      <c r="X3799" s="9"/>
      <c r="Y3799" s="9"/>
      <c r="Z3799" s="9"/>
      <c r="AA3799" s="9"/>
    </row>
    <row r="3800">
      <c r="A3800" s="9"/>
      <c r="B3800" s="9"/>
      <c r="C3800" s="9"/>
      <c r="D3800" s="9"/>
      <c r="E3800" s="9"/>
      <c r="F3800" s="9"/>
      <c r="G3800" s="10"/>
      <c r="H3800" s="9"/>
      <c r="I3800" s="15"/>
      <c r="J3800" s="9"/>
      <c r="K3800" s="9"/>
      <c r="L3800" s="9"/>
      <c r="M3800" s="9"/>
      <c r="N3800" s="9"/>
      <c r="O3800" s="9"/>
      <c r="P3800" s="9"/>
      <c r="Q3800" s="9"/>
      <c r="R3800" s="9"/>
      <c r="S3800" s="9"/>
      <c r="T3800" s="9"/>
      <c r="U3800" s="9"/>
      <c r="V3800" s="9"/>
      <c r="W3800" s="9"/>
      <c r="X3800" s="9"/>
      <c r="Y3800" s="9"/>
      <c r="Z3800" s="9"/>
      <c r="AA3800" s="9"/>
    </row>
    <row r="3801">
      <c r="A3801" s="9"/>
      <c r="B3801" s="9"/>
      <c r="C3801" s="9"/>
      <c r="D3801" s="9"/>
      <c r="E3801" s="9"/>
      <c r="F3801" s="9"/>
      <c r="G3801" s="10"/>
      <c r="H3801" s="9"/>
      <c r="I3801" s="15"/>
      <c r="J3801" s="9"/>
      <c r="K3801" s="9"/>
      <c r="L3801" s="9"/>
      <c r="M3801" s="9"/>
      <c r="N3801" s="9"/>
      <c r="O3801" s="9"/>
      <c r="P3801" s="9"/>
      <c r="Q3801" s="9"/>
      <c r="R3801" s="9"/>
      <c r="S3801" s="9"/>
      <c r="T3801" s="9"/>
      <c r="U3801" s="9"/>
      <c r="V3801" s="9"/>
      <c r="W3801" s="9"/>
      <c r="X3801" s="9"/>
      <c r="Y3801" s="9"/>
      <c r="Z3801" s="9"/>
      <c r="AA3801" s="9"/>
    </row>
    <row r="3802">
      <c r="A3802" s="9"/>
      <c r="B3802" s="9"/>
      <c r="C3802" s="9"/>
      <c r="D3802" s="9"/>
      <c r="E3802" s="9"/>
      <c r="F3802" s="9"/>
      <c r="G3802" s="10"/>
      <c r="H3802" s="9"/>
      <c r="I3802" s="15"/>
      <c r="J3802" s="9"/>
      <c r="K3802" s="9"/>
      <c r="L3802" s="9"/>
      <c r="M3802" s="9"/>
      <c r="N3802" s="9"/>
      <c r="O3802" s="9"/>
      <c r="P3802" s="9"/>
      <c r="Q3802" s="9"/>
      <c r="R3802" s="9"/>
      <c r="S3802" s="9"/>
      <c r="T3802" s="9"/>
      <c r="U3802" s="9"/>
      <c r="V3802" s="9"/>
      <c r="W3802" s="9"/>
      <c r="X3802" s="9"/>
      <c r="Y3802" s="9"/>
      <c r="Z3802" s="9"/>
      <c r="AA3802" s="9"/>
    </row>
    <row r="3803">
      <c r="A3803" s="9"/>
      <c r="B3803" s="9"/>
      <c r="C3803" s="9"/>
      <c r="D3803" s="9"/>
      <c r="E3803" s="9"/>
      <c r="F3803" s="9"/>
      <c r="G3803" s="10"/>
      <c r="H3803" s="9"/>
      <c r="I3803" s="15"/>
      <c r="J3803" s="9"/>
      <c r="K3803" s="9"/>
      <c r="L3803" s="9"/>
      <c r="M3803" s="9"/>
      <c r="N3803" s="9"/>
      <c r="O3803" s="9"/>
      <c r="P3803" s="9"/>
      <c r="Q3803" s="9"/>
      <c r="R3803" s="9"/>
      <c r="S3803" s="9"/>
      <c r="T3803" s="9"/>
      <c r="U3803" s="9"/>
      <c r="V3803" s="9"/>
      <c r="W3803" s="9"/>
      <c r="X3803" s="9"/>
      <c r="Y3803" s="9"/>
      <c r="Z3803" s="9"/>
      <c r="AA3803" s="9"/>
    </row>
    <row r="3804">
      <c r="A3804" s="9"/>
      <c r="B3804" s="9"/>
      <c r="C3804" s="9"/>
      <c r="D3804" s="9"/>
      <c r="E3804" s="9"/>
      <c r="F3804" s="9"/>
      <c r="G3804" s="10"/>
      <c r="H3804" s="9"/>
      <c r="I3804" s="15"/>
      <c r="J3804" s="9"/>
      <c r="K3804" s="9"/>
      <c r="L3804" s="9"/>
      <c r="M3804" s="9"/>
      <c r="N3804" s="9"/>
      <c r="O3804" s="9"/>
      <c r="P3804" s="9"/>
      <c r="Q3804" s="9"/>
      <c r="R3804" s="9"/>
      <c r="S3804" s="9"/>
      <c r="T3804" s="9"/>
      <c r="U3804" s="9"/>
      <c r="V3804" s="9"/>
      <c r="W3804" s="9"/>
      <c r="X3804" s="9"/>
      <c r="Y3804" s="9"/>
      <c r="Z3804" s="9"/>
      <c r="AA3804" s="9"/>
    </row>
    <row r="3805">
      <c r="A3805" s="9"/>
      <c r="B3805" s="9"/>
      <c r="C3805" s="9"/>
      <c r="D3805" s="9"/>
      <c r="E3805" s="9"/>
      <c r="F3805" s="9"/>
      <c r="G3805" s="10"/>
      <c r="H3805" s="9"/>
      <c r="I3805" s="15"/>
      <c r="J3805" s="9"/>
      <c r="K3805" s="9"/>
      <c r="L3805" s="9"/>
      <c r="M3805" s="9"/>
      <c r="N3805" s="9"/>
      <c r="O3805" s="9"/>
      <c r="P3805" s="9"/>
      <c r="Q3805" s="9"/>
      <c r="R3805" s="9"/>
      <c r="S3805" s="9"/>
      <c r="T3805" s="9"/>
      <c r="U3805" s="9"/>
      <c r="V3805" s="9"/>
      <c r="W3805" s="9"/>
      <c r="X3805" s="9"/>
      <c r="Y3805" s="9"/>
      <c r="Z3805" s="9"/>
      <c r="AA3805" s="9"/>
    </row>
    <row r="3806">
      <c r="A3806" s="9"/>
      <c r="B3806" s="9"/>
      <c r="C3806" s="9"/>
      <c r="D3806" s="9"/>
      <c r="E3806" s="9"/>
      <c r="F3806" s="9"/>
      <c r="G3806" s="10"/>
      <c r="H3806" s="9"/>
      <c r="I3806" s="15"/>
      <c r="J3806" s="9"/>
      <c r="K3806" s="9"/>
      <c r="L3806" s="9"/>
      <c r="M3806" s="9"/>
      <c r="N3806" s="9"/>
      <c r="O3806" s="9"/>
      <c r="P3806" s="9"/>
      <c r="Q3806" s="9"/>
      <c r="R3806" s="9"/>
      <c r="S3806" s="9"/>
      <c r="T3806" s="9"/>
      <c r="U3806" s="9"/>
      <c r="V3806" s="9"/>
      <c r="W3806" s="9"/>
      <c r="X3806" s="9"/>
      <c r="Y3806" s="9"/>
      <c r="Z3806" s="9"/>
      <c r="AA3806" s="9"/>
    </row>
    <row r="3807">
      <c r="A3807" s="9"/>
      <c r="B3807" s="9"/>
      <c r="C3807" s="9"/>
      <c r="D3807" s="9"/>
      <c r="E3807" s="9"/>
      <c r="F3807" s="9"/>
      <c r="G3807" s="10"/>
      <c r="H3807" s="9"/>
      <c r="I3807" s="15"/>
      <c r="J3807" s="9"/>
      <c r="K3807" s="9"/>
      <c r="L3807" s="9"/>
      <c r="M3807" s="9"/>
      <c r="N3807" s="9"/>
      <c r="O3807" s="9"/>
      <c r="P3807" s="9"/>
      <c r="Q3807" s="9"/>
      <c r="R3807" s="9"/>
      <c r="S3807" s="9"/>
      <c r="T3807" s="9"/>
      <c r="U3807" s="9"/>
      <c r="V3807" s="9"/>
      <c r="W3807" s="9"/>
      <c r="X3807" s="9"/>
      <c r="Y3807" s="9"/>
      <c r="Z3807" s="9"/>
      <c r="AA3807" s="9"/>
    </row>
    <row r="3808">
      <c r="A3808" s="9"/>
      <c r="B3808" s="9"/>
      <c r="C3808" s="9"/>
      <c r="D3808" s="9"/>
      <c r="E3808" s="9"/>
      <c r="F3808" s="9"/>
      <c r="G3808" s="10"/>
      <c r="H3808" s="9"/>
      <c r="I3808" s="15"/>
      <c r="J3808" s="9"/>
      <c r="K3808" s="9"/>
      <c r="L3808" s="9"/>
      <c r="M3808" s="9"/>
      <c r="N3808" s="9"/>
      <c r="O3808" s="9"/>
      <c r="P3808" s="9"/>
      <c r="Q3808" s="9"/>
      <c r="R3808" s="9"/>
      <c r="S3808" s="9"/>
      <c r="T3808" s="9"/>
      <c r="U3808" s="9"/>
      <c r="V3808" s="9"/>
      <c r="W3808" s="9"/>
      <c r="X3808" s="9"/>
      <c r="Y3808" s="9"/>
      <c r="Z3808" s="9"/>
      <c r="AA3808" s="9"/>
    </row>
    <row r="3809">
      <c r="A3809" s="9"/>
      <c r="B3809" s="9"/>
      <c r="C3809" s="9"/>
      <c r="D3809" s="9"/>
      <c r="E3809" s="9"/>
      <c r="F3809" s="9"/>
      <c r="G3809" s="10"/>
      <c r="H3809" s="9"/>
      <c r="I3809" s="15"/>
      <c r="J3809" s="9"/>
      <c r="K3809" s="9"/>
      <c r="L3809" s="9"/>
      <c r="M3809" s="9"/>
      <c r="N3809" s="9"/>
      <c r="O3809" s="9"/>
      <c r="P3809" s="9"/>
      <c r="Q3809" s="9"/>
      <c r="R3809" s="9"/>
      <c r="S3809" s="9"/>
      <c r="T3809" s="9"/>
      <c r="U3809" s="9"/>
      <c r="V3809" s="9"/>
      <c r="W3809" s="9"/>
      <c r="X3809" s="9"/>
      <c r="Y3809" s="9"/>
      <c r="Z3809" s="9"/>
      <c r="AA3809" s="9"/>
    </row>
    <row r="3810">
      <c r="A3810" s="9"/>
      <c r="B3810" s="9"/>
      <c r="C3810" s="9"/>
      <c r="D3810" s="9"/>
      <c r="E3810" s="9"/>
      <c r="F3810" s="9"/>
      <c r="G3810" s="10"/>
      <c r="H3810" s="9"/>
      <c r="I3810" s="15"/>
      <c r="J3810" s="9"/>
      <c r="K3810" s="9"/>
      <c r="L3810" s="9"/>
      <c r="M3810" s="9"/>
      <c r="N3810" s="9"/>
      <c r="O3810" s="9"/>
      <c r="P3810" s="9"/>
      <c r="Q3810" s="9"/>
      <c r="R3810" s="9"/>
      <c r="S3810" s="9"/>
      <c r="T3810" s="9"/>
      <c r="U3810" s="9"/>
      <c r="V3810" s="9"/>
      <c r="W3810" s="9"/>
      <c r="X3810" s="9"/>
      <c r="Y3810" s="9"/>
      <c r="Z3810" s="9"/>
      <c r="AA3810" s="9"/>
    </row>
    <row r="3811">
      <c r="A3811" s="9"/>
      <c r="B3811" s="9"/>
      <c r="C3811" s="9"/>
      <c r="D3811" s="9"/>
      <c r="E3811" s="9"/>
      <c r="F3811" s="9"/>
      <c r="G3811" s="10"/>
      <c r="H3811" s="9"/>
      <c r="I3811" s="15"/>
      <c r="J3811" s="9"/>
      <c r="K3811" s="9"/>
      <c r="L3811" s="9"/>
      <c r="M3811" s="9"/>
      <c r="N3811" s="9"/>
      <c r="O3811" s="9"/>
      <c r="P3811" s="9"/>
      <c r="Q3811" s="9"/>
      <c r="R3811" s="9"/>
      <c r="S3811" s="9"/>
      <c r="T3811" s="9"/>
      <c r="U3811" s="9"/>
      <c r="V3811" s="9"/>
      <c r="W3811" s="9"/>
      <c r="X3811" s="9"/>
      <c r="Y3811" s="9"/>
      <c r="Z3811" s="9"/>
      <c r="AA3811" s="9"/>
    </row>
    <row r="3812">
      <c r="A3812" s="9"/>
      <c r="B3812" s="9"/>
      <c r="C3812" s="9"/>
      <c r="D3812" s="9"/>
      <c r="E3812" s="9"/>
      <c r="F3812" s="9"/>
      <c r="G3812" s="10"/>
      <c r="H3812" s="9"/>
      <c r="I3812" s="15"/>
      <c r="J3812" s="9"/>
      <c r="K3812" s="9"/>
      <c r="L3812" s="9"/>
      <c r="M3812" s="9"/>
      <c r="N3812" s="9"/>
      <c r="O3812" s="9"/>
      <c r="P3812" s="9"/>
      <c r="Q3812" s="9"/>
      <c r="R3812" s="9"/>
      <c r="S3812" s="9"/>
      <c r="T3812" s="9"/>
      <c r="U3812" s="9"/>
      <c r="V3812" s="9"/>
      <c r="W3812" s="9"/>
      <c r="X3812" s="9"/>
      <c r="Y3812" s="9"/>
      <c r="Z3812" s="9"/>
      <c r="AA3812" s="9"/>
    </row>
    <row r="3813">
      <c r="A3813" s="9"/>
      <c r="B3813" s="9"/>
      <c r="C3813" s="9"/>
      <c r="D3813" s="9"/>
      <c r="E3813" s="9"/>
      <c r="F3813" s="9"/>
      <c r="G3813" s="10"/>
      <c r="H3813" s="9"/>
      <c r="I3813" s="15"/>
      <c r="J3813" s="9"/>
      <c r="K3813" s="9"/>
      <c r="L3813" s="9"/>
      <c r="M3813" s="9"/>
      <c r="N3813" s="9"/>
      <c r="O3813" s="9"/>
      <c r="P3813" s="9"/>
      <c r="Q3813" s="9"/>
      <c r="R3813" s="9"/>
      <c r="S3813" s="9"/>
      <c r="T3813" s="9"/>
      <c r="U3813" s="9"/>
      <c r="V3813" s="9"/>
      <c r="W3813" s="9"/>
      <c r="X3813" s="9"/>
      <c r="Y3813" s="9"/>
      <c r="Z3813" s="9"/>
      <c r="AA3813" s="9"/>
    </row>
    <row r="3814">
      <c r="A3814" s="9"/>
      <c r="B3814" s="9"/>
      <c r="C3814" s="9"/>
      <c r="D3814" s="9"/>
      <c r="E3814" s="9"/>
      <c r="F3814" s="9"/>
      <c r="G3814" s="10"/>
      <c r="H3814" s="9"/>
      <c r="I3814" s="15"/>
      <c r="J3814" s="9"/>
      <c r="K3814" s="9"/>
      <c r="L3814" s="9"/>
      <c r="M3814" s="9"/>
      <c r="N3814" s="9"/>
      <c r="O3814" s="9"/>
      <c r="P3814" s="9"/>
      <c r="Q3814" s="9"/>
      <c r="R3814" s="9"/>
      <c r="S3814" s="9"/>
      <c r="T3814" s="9"/>
      <c r="U3814" s="9"/>
      <c r="V3814" s="9"/>
      <c r="W3814" s="9"/>
      <c r="X3814" s="9"/>
      <c r="Y3814" s="9"/>
      <c r="Z3814" s="9"/>
      <c r="AA3814" s="9"/>
    </row>
    <row r="3815">
      <c r="A3815" s="9"/>
      <c r="B3815" s="9"/>
      <c r="C3815" s="9"/>
      <c r="D3815" s="9"/>
      <c r="E3815" s="9"/>
      <c r="F3815" s="9"/>
      <c r="G3815" s="10"/>
      <c r="H3815" s="9"/>
      <c r="I3815" s="15"/>
      <c r="J3815" s="9"/>
      <c r="K3815" s="9"/>
      <c r="L3815" s="9"/>
      <c r="M3815" s="9"/>
      <c r="N3815" s="9"/>
      <c r="O3815" s="9"/>
      <c r="P3815" s="9"/>
      <c r="Q3815" s="9"/>
      <c r="R3815" s="9"/>
      <c r="S3815" s="9"/>
      <c r="T3815" s="9"/>
      <c r="U3815" s="9"/>
      <c r="V3815" s="9"/>
      <c r="W3815" s="9"/>
      <c r="X3815" s="9"/>
      <c r="Y3815" s="9"/>
      <c r="Z3815" s="9"/>
      <c r="AA3815" s="9"/>
    </row>
    <row r="3816">
      <c r="A3816" s="9"/>
      <c r="B3816" s="9"/>
      <c r="C3816" s="9"/>
      <c r="D3816" s="9"/>
      <c r="E3816" s="9"/>
      <c r="F3816" s="9"/>
      <c r="G3816" s="10"/>
      <c r="H3816" s="9"/>
      <c r="I3816" s="15"/>
      <c r="J3816" s="9"/>
      <c r="K3816" s="9"/>
      <c r="L3816" s="9"/>
      <c r="M3816" s="9"/>
      <c r="N3816" s="9"/>
      <c r="O3816" s="9"/>
      <c r="P3816" s="9"/>
      <c r="Q3816" s="9"/>
      <c r="R3816" s="9"/>
      <c r="S3816" s="9"/>
      <c r="T3816" s="9"/>
      <c r="U3816" s="9"/>
      <c r="V3816" s="9"/>
      <c r="W3816" s="9"/>
      <c r="X3816" s="9"/>
      <c r="Y3816" s="9"/>
      <c r="Z3816" s="9"/>
      <c r="AA3816" s="9"/>
    </row>
    <row r="3817">
      <c r="A3817" s="9"/>
      <c r="B3817" s="9"/>
      <c r="C3817" s="9"/>
      <c r="D3817" s="9"/>
      <c r="E3817" s="9"/>
      <c r="F3817" s="9"/>
      <c r="G3817" s="10"/>
      <c r="H3817" s="9"/>
      <c r="I3817" s="15"/>
      <c r="J3817" s="9"/>
      <c r="K3817" s="9"/>
      <c r="L3817" s="9"/>
      <c r="M3817" s="9"/>
      <c r="N3817" s="9"/>
      <c r="O3817" s="9"/>
      <c r="P3817" s="9"/>
      <c r="Q3817" s="9"/>
      <c r="R3817" s="9"/>
      <c r="S3817" s="9"/>
      <c r="T3817" s="9"/>
      <c r="U3817" s="9"/>
      <c r="V3817" s="9"/>
      <c r="W3817" s="9"/>
      <c r="X3817" s="9"/>
      <c r="Y3817" s="9"/>
      <c r="Z3817" s="9"/>
      <c r="AA3817" s="9"/>
    </row>
    <row r="3818">
      <c r="A3818" s="9"/>
      <c r="B3818" s="9"/>
      <c r="C3818" s="9"/>
      <c r="D3818" s="9"/>
      <c r="E3818" s="9"/>
      <c r="F3818" s="9"/>
      <c r="G3818" s="10"/>
      <c r="H3818" s="9"/>
      <c r="I3818" s="15"/>
      <c r="J3818" s="9"/>
      <c r="K3818" s="9"/>
      <c r="L3818" s="9"/>
      <c r="M3818" s="9"/>
      <c r="N3818" s="9"/>
      <c r="O3818" s="9"/>
      <c r="P3818" s="9"/>
      <c r="Q3818" s="9"/>
      <c r="R3818" s="9"/>
      <c r="S3818" s="9"/>
      <c r="T3818" s="9"/>
      <c r="U3818" s="9"/>
      <c r="V3818" s="9"/>
      <c r="W3818" s="9"/>
      <c r="X3818" s="9"/>
      <c r="Y3818" s="9"/>
      <c r="Z3818" s="9"/>
      <c r="AA3818" s="9"/>
    </row>
    <row r="3819">
      <c r="A3819" s="9"/>
      <c r="B3819" s="9"/>
      <c r="C3819" s="9"/>
      <c r="D3819" s="9"/>
      <c r="E3819" s="9"/>
      <c r="F3819" s="9"/>
      <c r="G3819" s="10"/>
      <c r="H3819" s="9"/>
      <c r="I3819" s="15"/>
      <c r="J3819" s="9"/>
      <c r="K3819" s="9"/>
      <c r="L3819" s="9"/>
      <c r="M3819" s="9"/>
      <c r="N3819" s="9"/>
      <c r="O3819" s="9"/>
      <c r="P3819" s="9"/>
      <c r="Q3819" s="9"/>
      <c r="R3819" s="9"/>
      <c r="S3819" s="9"/>
      <c r="T3819" s="9"/>
      <c r="U3819" s="9"/>
      <c r="V3819" s="9"/>
      <c r="W3819" s="9"/>
      <c r="X3819" s="9"/>
      <c r="Y3819" s="9"/>
      <c r="Z3819" s="9"/>
      <c r="AA3819" s="9"/>
    </row>
    <row r="3820">
      <c r="A3820" s="9"/>
      <c r="B3820" s="9"/>
      <c r="C3820" s="9"/>
      <c r="D3820" s="9"/>
      <c r="E3820" s="9"/>
      <c r="F3820" s="9"/>
      <c r="G3820" s="10"/>
      <c r="H3820" s="9"/>
      <c r="I3820" s="15"/>
      <c r="J3820" s="9"/>
      <c r="K3820" s="9"/>
      <c r="L3820" s="9"/>
      <c r="M3820" s="9"/>
      <c r="N3820" s="9"/>
      <c r="O3820" s="9"/>
      <c r="P3820" s="9"/>
      <c r="Q3820" s="9"/>
      <c r="R3820" s="9"/>
      <c r="S3820" s="9"/>
      <c r="T3820" s="9"/>
      <c r="U3820" s="9"/>
      <c r="V3820" s="9"/>
      <c r="W3820" s="9"/>
      <c r="X3820" s="9"/>
      <c r="Y3820" s="9"/>
      <c r="Z3820" s="9"/>
      <c r="AA3820" s="9"/>
    </row>
    <row r="3821">
      <c r="A3821" s="9"/>
      <c r="B3821" s="9"/>
      <c r="C3821" s="9"/>
      <c r="D3821" s="9"/>
      <c r="E3821" s="9"/>
      <c r="F3821" s="9"/>
      <c r="G3821" s="10"/>
      <c r="H3821" s="9"/>
      <c r="I3821" s="15"/>
      <c r="J3821" s="9"/>
      <c r="K3821" s="9"/>
      <c r="L3821" s="9"/>
      <c r="M3821" s="9"/>
      <c r="N3821" s="9"/>
      <c r="O3821" s="9"/>
      <c r="P3821" s="9"/>
      <c r="Q3821" s="9"/>
      <c r="R3821" s="9"/>
      <c r="S3821" s="9"/>
      <c r="T3821" s="9"/>
      <c r="U3821" s="9"/>
      <c r="V3821" s="9"/>
      <c r="W3821" s="9"/>
      <c r="X3821" s="9"/>
      <c r="Y3821" s="9"/>
      <c r="Z3821" s="9"/>
      <c r="AA3821" s="9"/>
    </row>
    <row r="3822">
      <c r="A3822" s="9"/>
      <c r="B3822" s="9"/>
      <c r="C3822" s="9"/>
      <c r="D3822" s="9"/>
      <c r="E3822" s="9"/>
      <c r="F3822" s="9"/>
      <c r="G3822" s="10"/>
      <c r="H3822" s="9"/>
      <c r="I3822" s="15"/>
      <c r="J3822" s="9"/>
      <c r="K3822" s="9"/>
      <c r="L3822" s="9"/>
      <c r="M3822" s="9"/>
      <c r="N3822" s="9"/>
      <c r="O3822" s="9"/>
      <c r="P3822" s="9"/>
      <c r="Q3822" s="9"/>
      <c r="R3822" s="9"/>
      <c r="S3822" s="9"/>
      <c r="T3822" s="9"/>
      <c r="U3822" s="9"/>
      <c r="V3822" s="9"/>
      <c r="W3822" s="9"/>
      <c r="X3822" s="9"/>
      <c r="Y3822" s="9"/>
      <c r="Z3822" s="9"/>
      <c r="AA3822" s="9"/>
    </row>
    <row r="3823">
      <c r="A3823" s="9"/>
      <c r="B3823" s="9"/>
      <c r="C3823" s="9"/>
      <c r="D3823" s="9"/>
      <c r="E3823" s="9"/>
      <c r="F3823" s="9"/>
      <c r="G3823" s="10"/>
      <c r="H3823" s="9"/>
      <c r="I3823" s="15"/>
      <c r="J3823" s="9"/>
      <c r="K3823" s="9"/>
      <c r="L3823" s="9"/>
      <c r="M3823" s="9"/>
      <c r="N3823" s="9"/>
      <c r="O3823" s="9"/>
      <c r="P3823" s="9"/>
      <c r="Q3823" s="9"/>
      <c r="R3823" s="9"/>
      <c r="S3823" s="9"/>
      <c r="T3823" s="9"/>
      <c r="U3823" s="9"/>
      <c r="V3823" s="9"/>
      <c r="W3823" s="9"/>
      <c r="X3823" s="9"/>
      <c r="Y3823" s="9"/>
      <c r="Z3823" s="9"/>
      <c r="AA3823" s="9"/>
    </row>
    <row r="3824">
      <c r="A3824" s="9"/>
      <c r="B3824" s="9"/>
      <c r="C3824" s="9"/>
      <c r="D3824" s="9"/>
      <c r="E3824" s="9"/>
      <c r="F3824" s="9"/>
      <c r="G3824" s="10"/>
      <c r="H3824" s="9"/>
      <c r="I3824" s="15"/>
      <c r="J3824" s="9"/>
      <c r="K3824" s="9"/>
      <c r="L3824" s="9"/>
      <c r="M3824" s="9"/>
      <c r="N3824" s="9"/>
      <c r="O3824" s="9"/>
      <c r="P3824" s="9"/>
      <c r="Q3824" s="9"/>
      <c r="R3824" s="9"/>
      <c r="S3824" s="9"/>
      <c r="T3824" s="9"/>
      <c r="U3824" s="9"/>
      <c r="V3824" s="9"/>
      <c r="W3824" s="9"/>
      <c r="X3824" s="9"/>
      <c r="Y3824" s="9"/>
      <c r="Z3824" s="9"/>
      <c r="AA3824" s="9"/>
    </row>
    <row r="3825">
      <c r="A3825" s="9"/>
      <c r="B3825" s="9"/>
      <c r="C3825" s="9"/>
      <c r="D3825" s="9"/>
      <c r="E3825" s="9"/>
      <c r="F3825" s="9"/>
      <c r="G3825" s="10"/>
      <c r="H3825" s="9"/>
      <c r="I3825" s="15"/>
      <c r="J3825" s="9"/>
      <c r="K3825" s="9"/>
      <c r="L3825" s="9"/>
      <c r="M3825" s="9"/>
      <c r="N3825" s="9"/>
      <c r="O3825" s="9"/>
      <c r="P3825" s="9"/>
      <c r="Q3825" s="9"/>
      <c r="R3825" s="9"/>
      <c r="S3825" s="9"/>
      <c r="T3825" s="9"/>
      <c r="U3825" s="9"/>
      <c r="V3825" s="9"/>
      <c r="W3825" s="9"/>
      <c r="X3825" s="9"/>
      <c r="Y3825" s="9"/>
      <c r="Z3825" s="9"/>
      <c r="AA3825" s="9"/>
    </row>
    <row r="3826">
      <c r="A3826" s="9"/>
      <c r="B3826" s="9"/>
      <c r="C3826" s="9"/>
      <c r="D3826" s="9"/>
      <c r="E3826" s="9"/>
      <c r="F3826" s="9"/>
      <c r="G3826" s="10"/>
      <c r="H3826" s="9"/>
      <c r="I3826" s="15"/>
      <c r="J3826" s="9"/>
      <c r="K3826" s="9"/>
      <c r="L3826" s="9"/>
      <c r="M3826" s="9"/>
      <c r="N3826" s="9"/>
      <c r="O3826" s="9"/>
      <c r="P3826" s="9"/>
      <c r="Q3826" s="9"/>
      <c r="R3826" s="9"/>
      <c r="S3826" s="9"/>
      <c r="T3826" s="9"/>
      <c r="U3826" s="9"/>
      <c r="V3826" s="9"/>
      <c r="W3826" s="9"/>
      <c r="X3826" s="9"/>
      <c r="Y3826" s="9"/>
      <c r="Z3826" s="9"/>
      <c r="AA3826" s="9"/>
    </row>
    <row r="3827">
      <c r="A3827" s="9"/>
      <c r="B3827" s="9"/>
      <c r="C3827" s="9"/>
      <c r="D3827" s="9"/>
      <c r="E3827" s="9"/>
      <c r="F3827" s="9"/>
      <c r="G3827" s="10"/>
      <c r="H3827" s="9"/>
      <c r="I3827" s="15"/>
      <c r="J3827" s="9"/>
      <c r="K3827" s="9"/>
      <c r="L3827" s="9"/>
      <c r="M3827" s="9"/>
      <c r="N3827" s="9"/>
      <c r="O3827" s="9"/>
      <c r="P3827" s="9"/>
      <c r="Q3827" s="9"/>
      <c r="R3827" s="9"/>
      <c r="S3827" s="9"/>
      <c r="T3827" s="9"/>
      <c r="U3827" s="9"/>
      <c r="V3827" s="9"/>
      <c r="W3827" s="9"/>
      <c r="X3827" s="9"/>
      <c r="Y3827" s="9"/>
      <c r="Z3827" s="9"/>
      <c r="AA3827" s="9"/>
    </row>
    <row r="3828">
      <c r="A3828" s="9"/>
      <c r="B3828" s="9"/>
      <c r="C3828" s="9"/>
      <c r="D3828" s="9"/>
      <c r="E3828" s="9"/>
      <c r="F3828" s="9"/>
      <c r="G3828" s="10"/>
      <c r="H3828" s="9"/>
      <c r="I3828" s="15"/>
      <c r="J3828" s="9"/>
      <c r="K3828" s="9"/>
      <c r="L3828" s="9"/>
      <c r="M3828" s="9"/>
      <c r="N3828" s="9"/>
      <c r="O3828" s="9"/>
      <c r="P3828" s="9"/>
      <c r="Q3828" s="9"/>
      <c r="R3828" s="9"/>
      <c r="S3828" s="9"/>
      <c r="T3828" s="9"/>
      <c r="U3828" s="9"/>
      <c r="V3828" s="9"/>
      <c r="W3828" s="9"/>
      <c r="X3828" s="9"/>
      <c r="Y3828" s="9"/>
      <c r="Z3828" s="9"/>
      <c r="AA3828" s="9"/>
    </row>
    <row r="3829">
      <c r="A3829" s="9"/>
      <c r="B3829" s="9"/>
      <c r="C3829" s="9"/>
      <c r="D3829" s="9"/>
      <c r="E3829" s="9"/>
      <c r="F3829" s="9"/>
      <c r="G3829" s="10"/>
      <c r="H3829" s="9"/>
      <c r="I3829" s="15"/>
      <c r="J3829" s="9"/>
      <c r="K3829" s="9"/>
      <c r="L3829" s="9"/>
      <c r="M3829" s="9"/>
      <c r="N3829" s="9"/>
      <c r="O3829" s="9"/>
      <c r="P3829" s="9"/>
      <c r="Q3829" s="9"/>
      <c r="R3829" s="9"/>
      <c r="S3829" s="9"/>
      <c r="T3829" s="9"/>
      <c r="U3829" s="9"/>
      <c r="V3829" s="9"/>
      <c r="W3829" s="9"/>
      <c r="X3829" s="9"/>
      <c r="Y3829" s="9"/>
      <c r="Z3829" s="9"/>
      <c r="AA3829" s="9"/>
    </row>
    <row r="3830">
      <c r="A3830" s="9"/>
      <c r="B3830" s="9"/>
      <c r="C3830" s="9"/>
      <c r="D3830" s="9"/>
      <c r="E3830" s="9"/>
      <c r="F3830" s="9"/>
      <c r="G3830" s="10"/>
      <c r="H3830" s="9"/>
      <c r="I3830" s="15"/>
      <c r="J3830" s="9"/>
      <c r="K3830" s="9"/>
      <c r="L3830" s="9"/>
      <c r="M3830" s="9"/>
      <c r="N3830" s="9"/>
      <c r="O3830" s="9"/>
      <c r="P3830" s="9"/>
      <c r="Q3830" s="9"/>
      <c r="R3830" s="9"/>
      <c r="S3830" s="9"/>
      <c r="T3830" s="9"/>
      <c r="U3830" s="9"/>
      <c r="V3830" s="9"/>
      <c r="W3830" s="9"/>
      <c r="X3830" s="9"/>
      <c r="Y3830" s="9"/>
      <c r="Z3830" s="9"/>
      <c r="AA3830" s="9"/>
    </row>
    <row r="3831">
      <c r="A3831" s="9"/>
      <c r="B3831" s="9"/>
      <c r="C3831" s="9"/>
      <c r="D3831" s="9"/>
      <c r="E3831" s="9"/>
      <c r="F3831" s="9"/>
      <c r="G3831" s="10"/>
      <c r="H3831" s="9"/>
      <c r="I3831" s="15"/>
      <c r="J3831" s="9"/>
      <c r="K3831" s="9"/>
      <c r="L3831" s="9"/>
      <c r="M3831" s="9"/>
      <c r="N3831" s="9"/>
      <c r="O3831" s="9"/>
      <c r="P3831" s="9"/>
      <c r="Q3831" s="9"/>
      <c r="R3831" s="9"/>
      <c r="S3831" s="9"/>
      <c r="T3831" s="9"/>
      <c r="U3831" s="9"/>
      <c r="V3831" s="9"/>
      <c r="W3831" s="9"/>
      <c r="X3831" s="9"/>
      <c r="Y3831" s="9"/>
      <c r="Z3831" s="9"/>
      <c r="AA3831" s="9"/>
    </row>
    <row r="3832">
      <c r="A3832" s="9"/>
      <c r="B3832" s="9"/>
      <c r="C3832" s="9"/>
      <c r="D3832" s="9"/>
      <c r="E3832" s="9"/>
      <c r="F3832" s="9"/>
      <c r="G3832" s="10"/>
      <c r="H3832" s="9"/>
      <c r="I3832" s="15"/>
      <c r="J3832" s="9"/>
      <c r="K3832" s="9"/>
      <c r="L3832" s="9"/>
      <c r="M3832" s="9"/>
      <c r="N3832" s="9"/>
      <c r="O3832" s="9"/>
      <c r="P3832" s="9"/>
      <c r="Q3832" s="9"/>
      <c r="R3832" s="9"/>
      <c r="S3832" s="9"/>
      <c r="T3832" s="9"/>
      <c r="U3832" s="9"/>
      <c r="V3832" s="9"/>
      <c r="W3832" s="9"/>
      <c r="X3832" s="9"/>
      <c r="Y3832" s="9"/>
      <c r="Z3832" s="9"/>
      <c r="AA3832" s="9"/>
    </row>
    <row r="3833">
      <c r="A3833" s="9"/>
      <c r="B3833" s="9"/>
      <c r="C3833" s="9"/>
      <c r="D3833" s="9"/>
      <c r="E3833" s="9"/>
      <c r="F3833" s="9"/>
      <c r="G3833" s="10"/>
      <c r="H3833" s="9"/>
      <c r="I3833" s="15"/>
      <c r="J3833" s="9"/>
      <c r="K3833" s="9"/>
      <c r="L3833" s="9"/>
      <c r="M3833" s="9"/>
      <c r="N3833" s="9"/>
      <c r="O3833" s="9"/>
      <c r="P3833" s="9"/>
      <c r="Q3833" s="9"/>
      <c r="R3833" s="9"/>
      <c r="S3833" s="9"/>
      <c r="T3833" s="9"/>
      <c r="U3833" s="9"/>
      <c r="V3833" s="9"/>
      <c r="W3833" s="9"/>
      <c r="X3833" s="9"/>
      <c r="Y3833" s="9"/>
      <c r="Z3833" s="9"/>
      <c r="AA3833" s="9"/>
    </row>
    <row r="3834">
      <c r="A3834" s="9"/>
      <c r="B3834" s="9"/>
      <c r="C3834" s="9"/>
      <c r="D3834" s="9"/>
      <c r="E3834" s="9"/>
      <c r="F3834" s="9"/>
      <c r="G3834" s="10"/>
      <c r="H3834" s="9"/>
      <c r="I3834" s="15"/>
      <c r="J3834" s="9"/>
      <c r="K3834" s="9"/>
      <c r="L3834" s="9"/>
      <c r="M3834" s="9"/>
      <c r="N3834" s="9"/>
      <c r="O3834" s="9"/>
      <c r="P3834" s="9"/>
      <c r="Q3834" s="9"/>
      <c r="R3834" s="9"/>
      <c r="S3834" s="9"/>
      <c r="T3834" s="9"/>
      <c r="U3834" s="9"/>
      <c r="V3834" s="9"/>
      <c r="W3834" s="9"/>
      <c r="X3834" s="9"/>
      <c r="Y3834" s="9"/>
      <c r="Z3834" s="9"/>
      <c r="AA3834" s="9"/>
    </row>
    <row r="3835">
      <c r="A3835" s="9"/>
      <c r="B3835" s="9"/>
      <c r="C3835" s="9"/>
      <c r="D3835" s="9"/>
      <c r="E3835" s="9"/>
      <c r="F3835" s="9"/>
      <c r="G3835" s="10"/>
      <c r="H3835" s="9"/>
      <c r="I3835" s="15"/>
      <c r="J3835" s="9"/>
      <c r="K3835" s="9"/>
      <c r="L3835" s="9"/>
      <c r="M3835" s="9"/>
      <c r="N3835" s="9"/>
      <c r="O3835" s="9"/>
      <c r="P3835" s="9"/>
      <c r="Q3835" s="9"/>
      <c r="R3835" s="9"/>
      <c r="S3835" s="9"/>
      <c r="T3835" s="9"/>
      <c r="U3835" s="9"/>
      <c r="V3835" s="9"/>
      <c r="W3835" s="9"/>
      <c r="X3835" s="9"/>
      <c r="Y3835" s="9"/>
      <c r="Z3835" s="9"/>
      <c r="AA3835" s="9"/>
    </row>
    <row r="3836">
      <c r="A3836" s="9"/>
      <c r="B3836" s="9"/>
      <c r="C3836" s="9"/>
      <c r="D3836" s="9"/>
      <c r="E3836" s="9"/>
      <c r="F3836" s="9"/>
      <c r="G3836" s="10"/>
      <c r="H3836" s="9"/>
      <c r="I3836" s="15"/>
      <c r="J3836" s="9"/>
      <c r="K3836" s="9"/>
      <c r="L3836" s="9"/>
      <c r="M3836" s="9"/>
      <c r="N3836" s="9"/>
      <c r="O3836" s="9"/>
      <c r="P3836" s="9"/>
      <c r="Q3836" s="9"/>
      <c r="R3836" s="9"/>
      <c r="S3836" s="9"/>
      <c r="T3836" s="9"/>
      <c r="U3836" s="9"/>
      <c r="V3836" s="9"/>
      <c r="W3836" s="9"/>
      <c r="X3836" s="9"/>
      <c r="Y3836" s="9"/>
      <c r="Z3836" s="9"/>
      <c r="AA3836" s="9"/>
    </row>
    <row r="3837">
      <c r="A3837" s="9"/>
      <c r="B3837" s="9"/>
      <c r="C3837" s="9"/>
      <c r="D3837" s="9"/>
      <c r="E3837" s="9"/>
      <c r="F3837" s="9"/>
      <c r="G3837" s="10"/>
      <c r="H3837" s="9"/>
      <c r="I3837" s="15"/>
      <c r="J3837" s="9"/>
      <c r="K3837" s="9"/>
      <c r="L3837" s="9"/>
      <c r="M3837" s="9"/>
      <c r="N3837" s="9"/>
      <c r="O3837" s="9"/>
      <c r="P3837" s="9"/>
      <c r="Q3837" s="9"/>
      <c r="R3837" s="9"/>
      <c r="S3837" s="9"/>
      <c r="T3837" s="9"/>
      <c r="U3837" s="9"/>
      <c r="V3837" s="9"/>
      <c r="W3837" s="9"/>
      <c r="X3837" s="9"/>
      <c r="Y3837" s="9"/>
      <c r="Z3837" s="9"/>
      <c r="AA3837" s="9"/>
    </row>
    <row r="3838">
      <c r="A3838" s="9"/>
      <c r="B3838" s="9"/>
      <c r="C3838" s="9"/>
      <c r="D3838" s="9"/>
      <c r="E3838" s="9"/>
      <c r="F3838" s="9"/>
      <c r="G3838" s="10"/>
      <c r="H3838" s="9"/>
      <c r="I3838" s="15"/>
      <c r="J3838" s="9"/>
      <c r="K3838" s="9"/>
      <c r="L3838" s="9"/>
      <c r="M3838" s="9"/>
      <c r="N3838" s="9"/>
      <c r="O3838" s="9"/>
      <c r="P3838" s="9"/>
      <c r="Q3838" s="9"/>
      <c r="R3838" s="9"/>
      <c r="S3838" s="9"/>
      <c r="T3838" s="9"/>
      <c r="U3838" s="9"/>
      <c r="V3838" s="9"/>
      <c r="W3838" s="9"/>
      <c r="X3838" s="9"/>
      <c r="Y3838" s="9"/>
      <c r="Z3838" s="9"/>
      <c r="AA3838" s="9"/>
    </row>
    <row r="3839">
      <c r="A3839" s="9"/>
      <c r="B3839" s="9"/>
      <c r="C3839" s="9"/>
      <c r="D3839" s="9"/>
      <c r="E3839" s="9"/>
      <c r="F3839" s="9"/>
      <c r="G3839" s="10"/>
      <c r="H3839" s="9"/>
      <c r="I3839" s="15"/>
      <c r="J3839" s="9"/>
      <c r="K3839" s="9"/>
      <c r="L3839" s="9"/>
      <c r="M3839" s="9"/>
      <c r="N3839" s="9"/>
      <c r="O3839" s="9"/>
      <c r="P3839" s="9"/>
      <c r="Q3839" s="9"/>
      <c r="R3839" s="9"/>
      <c r="S3839" s="9"/>
      <c r="T3839" s="9"/>
      <c r="U3839" s="9"/>
      <c r="V3839" s="9"/>
      <c r="W3839" s="9"/>
      <c r="X3839" s="9"/>
      <c r="Y3839" s="9"/>
      <c r="Z3839" s="9"/>
      <c r="AA3839" s="9"/>
    </row>
    <row r="3840">
      <c r="A3840" s="9"/>
      <c r="B3840" s="9"/>
      <c r="C3840" s="9"/>
      <c r="D3840" s="9"/>
      <c r="E3840" s="9"/>
      <c r="F3840" s="9"/>
      <c r="G3840" s="10"/>
      <c r="H3840" s="9"/>
      <c r="I3840" s="15"/>
      <c r="J3840" s="9"/>
      <c r="K3840" s="9"/>
      <c r="L3840" s="9"/>
      <c r="M3840" s="9"/>
      <c r="N3840" s="9"/>
      <c r="O3840" s="9"/>
      <c r="P3840" s="9"/>
      <c r="Q3840" s="9"/>
      <c r="R3840" s="9"/>
      <c r="S3840" s="9"/>
      <c r="T3840" s="9"/>
      <c r="U3840" s="9"/>
      <c r="V3840" s="9"/>
      <c r="W3840" s="9"/>
      <c r="X3840" s="9"/>
      <c r="Y3840" s="9"/>
      <c r="Z3840" s="9"/>
      <c r="AA3840" s="9"/>
    </row>
    <row r="3841">
      <c r="A3841" s="9"/>
      <c r="B3841" s="9"/>
      <c r="C3841" s="9"/>
      <c r="D3841" s="9"/>
      <c r="E3841" s="9"/>
      <c r="F3841" s="9"/>
      <c r="G3841" s="10"/>
      <c r="H3841" s="9"/>
      <c r="I3841" s="15"/>
      <c r="J3841" s="9"/>
      <c r="K3841" s="9"/>
      <c r="L3841" s="9"/>
      <c r="M3841" s="9"/>
      <c r="N3841" s="9"/>
      <c r="O3841" s="9"/>
      <c r="P3841" s="9"/>
      <c r="Q3841" s="9"/>
      <c r="R3841" s="9"/>
      <c r="S3841" s="9"/>
      <c r="T3841" s="9"/>
      <c r="U3841" s="9"/>
      <c r="V3841" s="9"/>
      <c r="W3841" s="9"/>
      <c r="X3841" s="9"/>
      <c r="Y3841" s="9"/>
      <c r="Z3841" s="9"/>
      <c r="AA3841" s="9"/>
    </row>
    <row r="3842">
      <c r="A3842" s="9"/>
      <c r="B3842" s="9"/>
      <c r="C3842" s="9"/>
      <c r="D3842" s="9"/>
      <c r="E3842" s="9"/>
      <c r="F3842" s="9"/>
      <c r="G3842" s="10"/>
      <c r="H3842" s="9"/>
      <c r="I3842" s="15"/>
      <c r="J3842" s="9"/>
      <c r="K3842" s="9"/>
      <c r="L3842" s="9"/>
      <c r="M3842" s="9"/>
      <c r="N3842" s="9"/>
      <c r="O3842" s="9"/>
      <c r="P3842" s="9"/>
      <c r="Q3842" s="9"/>
      <c r="R3842" s="9"/>
      <c r="S3842" s="9"/>
      <c r="T3842" s="9"/>
      <c r="U3842" s="9"/>
      <c r="V3842" s="9"/>
      <c r="W3842" s="9"/>
      <c r="X3842" s="9"/>
      <c r="Y3842" s="9"/>
      <c r="Z3842" s="9"/>
      <c r="AA3842" s="9"/>
    </row>
    <row r="3843">
      <c r="A3843" s="9"/>
      <c r="B3843" s="9"/>
      <c r="C3843" s="9"/>
      <c r="D3843" s="9"/>
      <c r="E3843" s="9"/>
      <c r="F3843" s="9"/>
      <c r="G3843" s="10"/>
      <c r="H3843" s="9"/>
      <c r="I3843" s="15"/>
      <c r="J3843" s="9"/>
      <c r="K3843" s="9"/>
      <c r="L3843" s="9"/>
      <c r="M3843" s="9"/>
      <c r="N3843" s="9"/>
      <c r="O3843" s="9"/>
      <c r="P3843" s="9"/>
      <c r="Q3843" s="9"/>
      <c r="R3843" s="9"/>
      <c r="S3843" s="9"/>
      <c r="T3843" s="9"/>
      <c r="U3843" s="9"/>
      <c r="V3843" s="9"/>
      <c r="W3843" s="9"/>
      <c r="X3843" s="9"/>
      <c r="Y3843" s="9"/>
      <c r="Z3843" s="9"/>
      <c r="AA3843" s="9"/>
    </row>
    <row r="3844">
      <c r="A3844" s="9"/>
      <c r="B3844" s="9"/>
      <c r="C3844" s="9"/>
      <c r="D3844" s="9"/>
      <c r="E3844" s="9"/>
      <c r="F3844" s="9"/>
      <c r="G3844" s="10"/>
      <c r="H3844" s="9"/>
      <c r="I3844" s="15"/>
      <c r="J3844" s="9"/>
      <c r="K3844" s="9"/>
      <c r="L3844" s="9"/>
      <c r="M3844" s="9"/>
      <c r="N3844" s="9"/>
      <c r="O3844" s="9"/>
      <c r="P3844" s="9"/>
      <c r="Q3844" s="9"/>
      <c r="R3844" s="9"/>
      <c r="S3844" s="9"/>
      <c r="T3844" s="9"/>
      <c r="U3844" s="9"/>
      <c r="V3844" s="9"/>
      <c r="W3844" s="9"/>
      <c r="X3844" s="9"/>
      <c r="Y3844" s="9"/>
      <c r="Z3844" s="9"/>
      <c r="AA3844" s="9"/>
    </row>
    <row r="3845">
      <c r="A3845" s="9"/>
      <c r="B3845" s="9"/>
      <c r="C3845" s="9"/>
      <c r="D3845" s="9"/>
      <c r="E3845" s="9"/>
      <c r="F3845" s="9"/>
      <c r="G3845" s="10"/>
      <c r="H3845" s="9"/>
      <c r="I3845" s="15"/>
      <c r="J3845" s="9"/>
      <c r="K3845" s="9"/>
      <c r="L3845" s="9"/>
      <c r="M3845" s="9"/>
      <c r="N3845" s="9"/>
      <c r="O3845" s="9"/>
      <c r="P3845" s="9"/>
      <c r="Q3845" s="9"/>
      <c r="R3845" s="9"/>
      <c r="S3845" s="9"/>
      <c r="T3845" s="9"/>
      <c r="U3845" s="9"/>
      <c r="V3845" s="9"/>
      <c r="W3845" s="9"/>
      <c r="X3845" s="9"/>
      <c r="Y3845" s="9"/>
      <c r="Z3845" s="9"/>
      <c r="AA3845" s="9"/>
    </row>
    <row r="3846">
      <c r="A3846" s="9"/>
      <c r="B3846" s="9"/>
      <c r="C3846" s="9"/>
      <c r="D3846" s="9"/>
      <c r="E3846" s="9"/>
      <c r="F3846" s="9"/>
      <c r="G3846" s="10"/>
      <c r="H3846" s="9"/>
      <c r="I3846" s="15"/>
      <c r="J3846" s="9"/>
      <c r="K3846" s="9"/>
      <c r="L3846" s="9"/>
      <c r="M3846" s="9"/>
      <c r="N3846" s="9"/>
      <c r="O3846" s="9"/>
      <c r="P3846" s="9"/>
      <c r="Q3846" s="9"/>
      <c r="R3846" s="9"/>
      <c r="S3846" s="9"/>
      <c r="T3846" s="9"/>
      <c r="U3846" s="9"/>
      <c r="V3846" s="9"/>
      <c r="W3846" s="9"/>
      <c r="X3846" s="9"/>
      <c r="Y3846" s="9"/>
      <c r="Z3846" s="9"/>
      <c r="AA3846" s="9"/>
    </row>
    <row r="3847">
      <c r="A3847" s="9"/>
      <c r="B3847" s="9"/>
      <c r="C3847" s="9"/>
      <c r="D3847" s="9"/>
      <c r="E3847" s="9"/>
      <c r="F3847" s="9"/>
      <c r="G3847" s="10"/>
      <c r="H3847" s="9"/>
      <c r="I3847" s="15"/>
      <c r="J3847" s="9"/>
      <c r="K3847" s="9"/>
      <c r="L3847" s="9"/>
      <c r="M3847" s="9"/>
      <c r="N3847" s="9"/>
      <c r="O3847" s="9"/>
      <c r="P3847" s="9"/>
      <c r="Q3847" s="9"/>
      <c r="R3847" s="9"/>
      <c r="S3847" s="9"/>
      <c r="T3847" s="9"/>
      <c r="U3847" s="9"/>
      <c r="V3847" s="9"/>
      <c r="W3847" s="9"/>
      <c r="X3847" s="9"/>
      <c r="Y3847" s="9"/>
      <c r="Z3847" s="9"/>
      <c r="AA3847" s="9"/>
    </row>
    <row r="3848">
      <c r="A3848" s="9"/>
      <c r="B3848" s="9"/>
      <c r="C3848" s="9"/>
      <c r="D3848" s="9"/>
      <c r="E3848" s="9"/>
      <c r="F3848" s="9"/>
      <c r="G3848" s="10"/>
      <c r="H3848" s="9"/>
      <c r="I3848" s="15"/>
      <c r="J3848" s="9"/>
      <c r="K3848" s="9"/>
      <c r="L3848" s="9"/>
      <c r="M3848" s="9"/>
      <c r="N3848" s="9"/>
      <c r="O3848" s="9"/>
      <c r="P3848" s="9"/>
      <c r="Q3848" s="9"/>
      <c r="R3848" s="9"/>
      <c r="S3848" s="9"/>
      <c r="T3848" s="9"/>
      <c r="U3848" s="9"/>
      <c r="V3848" s="9"/>
      <c r="W3848" s="9"/>
      <c r="X3848" s="9"/>
      <c r="Y3848" s="9"/>
      <c r="Z3848" s="9"/>
      <c r="AA3848" s="9"/>
    </row>
    <row r="3849">
      <c r="A3849" s="9"/>
      <c r="B3849" s="9"/>
      <c r="C3849" s="9"/>
      <c r="D3849" s="9"/>
      <c r="E3849" s="9"/>
      <c r="F3849" s="9"/>
      <c r="G3849" s="10"/>
      <c r="H3849" s="9"/>
      <c r="I3849" s="15"/>
      <c r="J3849" s="9"/>
      <c r="K3849" s="9"/>
      <c r="L3849" s="9"/>
      <c r="M3849" s="9"/>
      <c r="N3849" s="9"/>
      <c r="O3849" s="9"/>
      <c r="P3849" s="9"/>
      <c r="Q3849" s="9"/>
      <c r="R3849" s="9"/>
      <c r="S3849" s="9"/>
      <c r="T3849" s="9"/>
      <c r="U3849" s="9"/>
      <c r="V3849" s="9"/>
      <c r="W3849" s="9"/>
      <c r="X3849" s="9"/>
      <c r="Y3849" s="9"/>
      <c r="Z3849" s="9"/>
      <c r="AA3849" s="9"/>
    </row>
    <row r="3850">
      <c r="A3850" s="9"/>
      <c r="B3850" s="9"/>
      <c r="C3850" s="9"/>
      <c r="D3850" s="9"/>
      <c r="E3850" s="9"/>
      <c r="F3850" s="9"/>
      <c r="G3850" s="10"/>
      <c r="H3850" s="9"/>
      <c r="I3850" s="15"/>
      <c r="J3850" s="9"/>
      <c r="K3850" s="9"/>
      <c r="L3850" s="9"/>
      <c r="M3850" s="9"/>
      <c r="N3850" s="9"/>
      <c r="O3850" s="9"/>
      <c r="P3850" s="9"/>
      <c r="Q3850" s="9"/>
      <c r="R3850" s="9"/>
      <c r="S3850" s="9"/>
      <c r="T3850" s="9"/>
      <c r="U3850" s="9"/>
      <c r="V3850" s="9"/>
      <c r="W3850" s="9"/>
      <c r="X3850" s="9"/>
      <c r="Y3850" s="9"/>
      <c r="Z3850" s="9"/>
      <c r="AA3850" s="9"/>
    </row>
    <row r="3851">
      <c r="A3851" s="9"/>
      <c r="B3851" s="9"/>
      <c r="C3851" s="9"/>
      <c r="D3851" s="9"/>
      <c r="E3851" s="9"/>
      <c r="F3851" s="9"/>
      <c r="G3851" s="10"/>
      <c r="H3851" s="9"/>
      <c r="I3851" s="15"/>
      <c r="J3851" s="9"/>
      <c r="K3851" s="9"/>
      <c r="L3851" s="9"/>
      <c r="M3851" s="9"/>
      <c r="N3851" s="9"/>
      <c r="O3851" s="9"/>
      <c r="P3851" s="9"/>
      <c r="Q3851" s="9"/>
      <c r="R3851" s="9"/>
      <c r="S3851" s="9"/>
      <c r="T3851" s="9"/>
      <c r="U3851" s="9"/>
      <c r="V3851" s="9"/>
      <c r="W3851" s="9"/>
      <c r="X3851" s="9"/>
      <c r="Y3851" s="9"/>
      <c r="Z3851" s="9"/>
      <c r="AA3851" s="9"/>
    </row>
    <row r="3852">
      <c r="A3852" s="9"/>
      <c r="B3852" s="9"/>
      <c r="C3852" s="9"/>
      <c r="D3852" s="9"/>
      <c r="E3852" s="9"/>
      <c r="F3852" s="9"/>
      <c r="G3852" s="10"/>
      <c r="H3852" s="9"/>
      <c r="I3852" s="15"/>
      <c r="J3852" s="9"/>
      <c r="K3852" s="9"/>
      <c r="L3852" s="9"/>
      <c r="M3852" s="9"/>
      <c r="N3852" s="9"/>
      <c r="O3852" s="9"/>
      <c r="P3852" s="9"/>
      <c r="Q3852" s="9"/>
      <c r="R3852" s="9"/>
      <c r="S3852" s="9"/>
      <c r="T3852" s="9"/>
      <c r="U3852" s="9"/>
      <c r="V3852" s="9"/>
      <c r="W3852" s="9"/>
      <c r="X3852" s="9"/>
      <c r="Y3852" s="9"/>
      <c r="Z3852" s="9"/>
      <c r="AA3852" s="9"/>
    </row>
    <row r="3853">
      <c r="A3853" s="9"/>
      <c r="B3853" s="9"/>
      <c r="C3853" s="9"/>
      <c r="D3853" s="9"/>
      <c r="E3853" s="9"/>
      <c r="F3853" s="9"/>
      <c r="G3853" s="10"/>
      <c r="H3853" s="9"/>
      <c r="I3853" s="15"/>
      <c r="J3853" s="9"/>
      <c r="K3853" s="9"/>
      <c r="L3853" s="9"/>
      <c r="M3853" s="9"/>
      <c r="N3853" s="9"/>
      <c r="O3853" s="9"/>
      <c r="P3853" s="9"/>
      <c r="Q3853" s="9"/>
      <c r="R3853" s="9"/>
      <c r="S3853" s="9"/>
      <c r="T3853" s="9"/>
      <c r="U3853" s="9"/>
      <c r="V3853" s="9"/>
      <c r="W3853" s="9"/>
      <c r="X3853" s="9"/>
      <c r="Y3853" s="9"/>
      <c r="Z3853" s="9"/>
      <c r="AA3853" s="9"/>
    </row>
    <row r="3854">
      <c r="A3854" s="9"/>
      <c r="B3854" s="9"/>
      <c r="C3854" s="9"/>
      <c r="D3854" s="9"/>
      <c r="E3854" s="9"/>
      <c r="F3854" s="9"/>
      <c r="G3854" s="10"/>
      <c r="H3854" s="9"/>
      <c r="I3854" s="15"/>
      <c r="J3854" s="9"/>
      <c r="K3854" s="9"/>
      <c r="L3854" s="9"/>
      <c r="M3854" s="9"/>
      <c r="N3854" s="9"/>
      <c r="O3854" s="9"/>
      <c r="P3854" s="9"/>
      <c r="Q3854" s="9"/>
      <c r="R3854" s="9"/>
      <c r="S3854" s="9"/>
      <c r="T3854" s="9"/>
      <c r="U3854" s="9"/>
      <c r="V3854" s="9"/>
      <c r="W3854" s="9"/>
      <c r="X3854" s="9"/>
      <c r="Y3854" s="9"/>
      <c r="Z3854" s="9"/>
      <c r="AA3854" s="9"/>
    </row>
    <row r="3855">
      <c r="A3855" s="9"/>
      <c r="B3855" s="9"/>
      <c r="C3855" s="9"/>
      <c r="D3855" s="9"/>
      <c r="E3855" s="9"/>
      <c r="F3855" s="9"/>
      <c r="G3855" s="10"/>
      <c r="H3855" s="9"/>
      <c r="I3855" s="15"/>
      <c r="J3855" s="9"/>
      <c r="K3855" s="9"/>
      <c r="L3855" s="9"/>
      <c r="M3855" s="9"/>
      <c r="N3855" s="9"/>
      <c r="O3855" s="9"/>
      <c r="P3855" s="9"/>
      <c r="Q3855" s="9"/>
      <c r="R3855" s="9"/>
      <c r="S3855" s="9"/>
      <c r="T3855" s="9"/>
      <c r="U3855" s="9"/>
      <c r="V3855" s="9"/>
      <c r="W3855" s="9"/>
      <c r="X3855" s="9"/>
      <c r="Y3855" s="9"/>
      <c r="Z3855" s="9"/>
      <c r="AA3855" s="9"/>
    </row>
    <row r="3856">
      <c r="A3856" s="9"/>
      <c r="B3856" s="9"/>
      <c r="C3856" s="9"/>
      <c r="D3856" s="9"/>
      <c r="E3856" s="9"/>
      <c r="F3856" s="9"/>
      <c r="G3856" s="10"/>
      <c r="H3856" s="9"/>
      <c r="I3856" s="15"/>
      <c r="J3856" s="9"/>
      <c r="K3856" s="9"/>
      <c r="L3856" s="9"/>
      <c r="M3856" s="9"/>
      <c r="N3856" s="9"/>
      <c r="O3856" s="9"/>
      <c r="P3856" s="9"/>
      <c r="Q3856" s="9"/>
      <c r="R3856" s="9"/>
      <c r="S3856" s="9"/>
      <c r="T3856" s="9"/>
      <c r="U3856" s="9"/>
      <c r="V3856" s="9"/>
      <c r="W3856" s="9"/>
      <c r="X3856" s="9"/>
      <c r="Y3856" s="9"/>
      <c r="Z3856" s="9"/>
      <c r="AA3856" s="9"/>
    </row>
    <row r="3857">
      <c r="A3857" s="9"/>
      <c r="B3857" s="9"/>
      <c r="C3857" s="9"/>
      <c r="D3857" s="9"/>
      <c r="E3857" s="9"/>
      <c r="F3857" s="9"/>
      <c r="G3857" s="10"/>
      <c r="H3857" s="9"/>
      <c r="I3857" s="15"/>
      <c r="J3857" s="9"/>
      <c r="K3857" s="9"/>
      <c r="L3857" s="9"/>
      <c r="M3857" s="9"/>
      <c r="N3857" s="9"/>
      <c r="O3857" s="9"/>
      <c r="P3857" s="9"/>
      <c r="Q3857" s="9"/>
      <c r="R3857" s="9"/>
      <c r="S3857" s="9"/>
      <c r="T3857" s="9"/>
      <c r="U3857" s="9"/>
      <c r="V3857" s="9"/>
      <c r="W3857" s="9"/>
      <c r="X3857" s="9"/>
      <c r="Y3857" s="9"/>
      <c r="Z3857" s="9"/>
      <c r="AA3857" s="9"/>
    </row>
    <row r="3858">
      <c r="A3858" s="9"/>
      <c r="B3858" s="9"/>
      <c r="C3858" s="9"/>
      <c r="D3858" s="9"/>
      <c r="E3858" s="9"/>
      <c r="F3858" s="9"/>
      <c r="G3858" s="10"/>
      <c r="H3858" s="9"/>
      <c r="I3858" s="15"/>
      <c r="J3858" s="9"/>
      <c r="K3858" s="9"/>
      <c r="L3858" s="9"/>
      <c r="M3858" s="9"/>
      <c r="N3858" s="9"/>
      <c r="O3858" s="9"/>
      <c r="P3858" s="9"/>
      <c r="Q3858" s="9"/>
      <c r="R3858" s="9"/>
      <c r="S3858" s="9"/>
      <c r="T3858" s="9"/>
      <c r="U3858" s="9"/>
      <c r="V3858" s="9"/>
      <c r="W3858" s="9"/>
      <c r="X3858" s="9"/>
      <c r="Y3858" s="9"/>
      <c r="Z3858" s="9"/>
      <c r="AA3858" s="9"/>
    </row>
    <row r="3859">
      <c r="A3859" s="9"/>
      <c r="B3859" s="9"/>
      <c r="C3859" s="9"/>
      <c r="D3859" s="9"/>
      <c r="E3859" s="9"/>
      <c r="F3859" s="9"/>
      <c r="G3859" s="10"/>
      <c r="H3859" s="9"/>
      <c r="I3859" s="15"/>
      <c r="J3859" s="9"/>
      <c r="K3859" s="9"/>
      <c r="L3859" s="9"/>
      <c r="M3859" s="9"/>
      <c r="N3859" s="9"/>
      <c r="O3859" s="9"/>
      <c r="P3859" s="9"/>
      <c r="Q3859" s="9"/>
      <c r="R3859" s="9"/>
      <c r="S3859" s="9"/>
      <c r="T3859" s="9"/>
      <c r="U3859" s="9"/>
      <c r="V3859" s="9"/>
      <c r="W3859" s="9"/>
      <c r="X3859" s="9"/>
      <c r="Y3859" s="9"/>
      <c r="Z3859" s="9"/>
      <c r="AA3859" s="9"/>
    </row>
    <row r="3860">
      <c r="A3860" s="9"/>
      <c r="B3860" s="9"/>
      <c r="C3860" s="9"/>
      <c r="D3860" s="9"/>
      <c r="E3860" s="9"/>
      <c r="F3860" s="9"/>
      <c r="G3860" s="10"/>
      <c r="H3860" s="9"/>
      <c r="I3860" s="15"/>
      <c r="J3860" s="9"/>
      <c r="K3860" s="9"/>
      <c r="L3860" s="9"/>
      <c r="M3860" s="9"/>
      <c r="N3860" s="9"/>
      <c r="O3860" s="9"/>
      <c r="P3860" s="9"/>
      <c r="Q3860" s="9"/>
      <c r="R3860" s="9"/>
      <c r="S3860" s="9"/>
      <c r="T3860" s="9"/>
      <c r="U3860" s="9"/>
      <c r="V3860" s="9"/>
      <c r="W3860" s="9"/>
      <c r="X3860" s="9"/>
      <c r="Y3860" s="9"/>
      <c r="Z3860" s="9"/>
      <c r="AA3860" s="9"/>
    </row>
    <row r="3861">
      <c r="A3861" s="9"/>
      <c r="B3861" s="9"/>
      <c r="C3861" s="9"/>
      <c r="D3861" s="9"/>
      <c r="E3861" s="9"/>
      <c r="F3861" s="9"/>
      <c r="G3861" s="10"/>
      <c r="H3861" s="9"/>
      <c r="I3861" s="15"/>
      <c r="J3861" s="9"/>
      <c r="K3861" s="9"/>
      <c r="L3861" s="9"/>
      <c r="M3861" s="9"/>
      <c r="N3861" s="9"/>
      <c r="O3861" s="9"/>
      <c r="P3861" s="9"/>
      <c r="Q3861" s="9"/>
      <c r="R3861" s="9"/>
      <c r="S3861" s="9"/>
      <c r="T3861" s="9"/>
      <c r="U3861" s="9"/>
      <c r="V3861" s="9"/>
      <c r="W3861" s="9"/>
      <c r="X3861" s="9"/>
      <c r="Y3861" s="9"/>
      <c r="Z3861" s="9"/>
      <c r="AA3861" s="9"/>
    </row>
    <row r="3862">
      <c r="A3862" s="9"/>
      <c r="B3862" s="9"/>
      <c r="C3862" s="9"/>
      <c r="D3862" s="9"/>
      <c r="E3862" s="9"/>
      <c r="F3862" s="9"/>
      <c r="G3862" s="10"/>
      <c r="H3862" s="9"/>
      <c r="I3862" s="15"/>
      <c r="J3862" s="9"/>
      <c r="K3862" s="9"/>
      <c r="L3862" s="9"/>
      <c r="M3862" s="9"/>
      <c r="N3862" s="9"/>
      <c r="O3862" s="9"/>
      <c r="P3862" s="9"/>
      <c r="Q3862" s="9"/>
      <c r="R3862" s="9"/>
      <c r="S3862" s="9"/>
      <c r="T3862" s="9"/>
      <c r="U3862" s="9"/>
      <c r="V3862" s="9"/>
      <c r="W3862" s="9"/>
      <c r="X3862" s="9"/>
      <c r="Y3862" s="9"/>
      <c r="Z3862" s="9"/>
      <c r="AA3862" s="9"/>
    </row>
    <row r="3863">
      <c r="A3863" s="9"/>
      <c r="B3863" s="9"/>
      <c r="C3863" s="9"/>
      <c r="D3863" s="9"/>
      <c r="E3863" s="9"/>
      <c r="F3863" s="9"/>
      <c r="G3863" s="10"/>
      <c r="H3863" s="9"/>
      <c r="I3863" s="15"/>
      <c r="J3863" s="9"/>
      <c r="K3863" s="9"/>
      <c r="L3863" s="9"/>
      <c r="M3863" s="9"/>
      <c r="N3863" s="9"/>
      <c r="O3863" s="9"/>
      <c r="P3863" s="9"/>
      <c r="Q3863" s="9"/>
      <c r="R3863" s="9"/>
      <c r="S3863" s="9"/>
      <c r="T3863" s="9"/>
      <c r="U3863" s="9"/>
      <c r="V3863" s="9"/>
      <c r="W3863" s="9"/>
      <c r="X3863" s="9"/>
      <c r="Y3863" s="9"/>
      <c r="Z3863" s="9"/>
      <c r="AA3863" s="9"/>
    </row>
    <row r="3864">
      <c r="A3864" s="9"/>
      <c r="B3864" s="9"/>
      <c r="C3864" s="9"/>
      <c r="D3864" s="9"/>
      <c r="E3864" s="9"/>
      <c r="F3864" s="9"/>
      <c r="G3864" s="10"/>
      <c r="H3864" s="9"/>
      <c r="I3864" s="15"/>
      <c r="J3864" s="9"/>
      <c r="K3864" s="9"/>
      <c r="L3864" s="9"/>
      <c r="M3864" s="9"/>
      <c r="N3864" s="9"/>
      <c r="O3864" s="9"/>
      <c r="P3864" s="9"/>
      <c r="Q3864" s="9"/>
      <c r="R3864" s="9"/>
      <c r="S3864" s="9"/>
      <c r="T3864" s="9"/>
      <c r="U3864" s="9"/>
      <c r="V3864" s="9"/>
      <c r="W3864" s="9"/>
      <c r="X3864" s="9"/>
      <c r="Y3864" s="9"/>
      <c r="Z3864" s="9"/>
      <c r="AA3864" s="9"/>
    </row>
    <row r="3865">
      <c r="A3865" s="9"/>
      <c r="B3865" s="9"/>
      <c r="C3865" s="9"/>
      <c r="D3865" s="9"/>
      <c r="E3865" s="9"/>
      <c r="F3865" s="9"/>
      <c r="G3865" s="10"/>
      <c r="H3865" s="9"/>
      <c r="I3865" s="15"/>
      <c r="J3865" s="9"/>
      <c r="K3865" s="9"/>
      <c r="L3865" s="9"/>
      <c r="M3865" s="9"/>
      <c r="N3865" s="9"/>
      <c r="O3865" s="9"/>
      <c r="P3865" s="9"/>
      <c r="Q3865" s="9"/>
      <c r="R3865" s="9"/>
      <c r="S3865" s="9"/>
      <c r="T3865" s="9"/>
      <c r="U3865" s="9"/>
      <c r="V3865" s="9"/>
      <c r="W3865" s="9"/>
      <c r="X3865" s="9"/>
      <c r="Y3865" s="9"/>
      <c r="Z3865" s="9"/>
      <c r="AA3865" s="9"/>
    </row>
    <row r="3866">
      <c r="A3866" s="9"/>
      <c r="B3866" s="9"/>
      <c r="C3866" s="9"/>
      <c r="D3866" s="9"/>
      <c r="E3866" s="9"/>
      <c r="F3866" s="9"/>
      <c r="G3866" s="10"/>
      <c r="H3866" s="9"/>
      <c r="I3866" s="15"/>
      <c r="J3866" s="9"/>
      <c r="K3866" s="9"/>
      <c r="L3866" s="9"/>
      <c r="M3866" s="9"/>
      <c r="N3866" s="9"/>
      <c r="O3866" s="9"/>
      <c r="P3866" s="9"/>
      <c r="Q3866" s="9"/>
      <c r="R3866" s="9"/>
      <c r="S3866" s="9"/>
      <c r="T3866" s="9"/>
      <c r="U3866" s="9"/>
      <c r="V3866" s="9"/>
      <c r="W3866" s="9"/>
      <c r="X3866" s="9"/>
      <c r="Y3866" s="9"/>
      <c r="Z3866" s="9"/>
      <c r="AA3866" s="9"/>
    </row>
    <row r="3867">
      <c r="A3867" s="9"/>
      <c r="B3867" s="9"/>
      <c r="C3867" s="9"/>
      <c r="D3867" s="9"/>
      <c r="E3867" s="9"/>
      <c r="F3867" s="9"/>
      <c r="G3867" s="10"/>
      <c r="H3867" s="9"/>
      <c r="I3867" s="15"/>
      <c r="J3867" s="9"/>
      <c r="K3867" s="9"/>
      <c r="L3867" s="9"/>
      <c r="M3867" s="9"/>
      <c r="N3867" s="9"/>
      <c r="O3867" s="9"/>
      <c r="P3867" s="9"/>
      <c r="Q3867" s="9"/>
      <c r="R3867" s="9"/>
      <c r="S3867" s="9"/>
      <c r="T3867" s="9"/>
      <c r="U3867" s="9"/>
      <c r="V3867" s="9"/>
      <c r="W3867" s="9"/>
      <c r="X3867" s="9"/>
      <c r="Y3867" s="9"/>
      <c r="Z3867" s="9"/>
      <c r="AA3867" s="9"/>
    </row>
    <row r="3868">
      <c r="A3868" s="9"/>
      <c r="B3868" s="9"/>
      <c r="C3868" s="9"/>
      <c r="D3868" s="9"/>
      <c r="E3868" s="9"/>
      <c r="F3868" s="9"/>
      <c r="G3868" s="10"/>
      <c r="H3868" s="9"/>
      <c r="I3868" s="15"/>
      <c r="J3868" s="9"/>
      <c r="K3868" s="9"/>
      <c r="L3868" s="9"/>
      <c r="M3868" s="9"/>
      <c r="N3868" s="9"/>
      <c r="O3868" s="9"/>
      <c r="P3868" s="9"/>
      <c r="Q3868" s="9"/>
      <c r="R3868" s="9"/>
      <c r="S3868" s="9"/>
      <c r="T3868" s="9"/>
      <c r="U3868" s="9"/>
      <c r="V3868" s="9"/>
      <c r="W3868" s="9"/>
      <c r="X3868" s="9"/>
      <c r="Y3868" s="9"/>
      <c r="Z3868" s="9"/>
      <c r="AA3868" s="9"/>
    </row>
    <row r="3869">
      <c r="A3869" s="9"/>
      <c r="B3869" s="9"/>
      <c r="C3869" s="9"/>
      <c r="D3869" s="9"/>
      <c r="E3869" s="9"/>
      <c r="F3869" s="9"/>
      <c r="G3869" s="10"/>
      <c r="H3869" s="9"/>
      <c r="I3869" s="15"/>
      <c r="J3869" s="9"/>
      <c r="K3869" s="9"/>
      <c r="L3869" s="9"/>
      <c r="M3869" s="9"/>
      <c r="N3869" s="9"/>
      <c r="O3869" s="9"/>
      <c r="P3869" s="9"/>
      <c r="Q3869" s="9"/>
      <c r="R3869" s="9"/>
      <c r="S3869" s="9"/>
      <c r="T3869" s="9"/>
      <c r="U3869" s="9"/>
      <c r="V3869" s="9"/>
      <c r="W3869" s="9"/>
      <c r="X3869" s="9"/>
      <c r="Y3869" s="9"/>
      <c r="Z3869" s="9"/>
      <c r="AA3869" s="9"/>
    </row>
    <row r="3870">
      <c r="A3870" s="9"/>
      <c r="B3870" s="9"/>
      <c r="C3870" s="9"/>
      <c r="D3870" s="9"/>
      <c r="E3870" s="9"/>
      <c r="F3870" s="9"/>
      <c r="G3870" s="10"/>
      <c r="H3870" s="9"/>
      <c r="I3870" s="15"/>
      <c r="J3870" s="9"/>
      <c r="K3870" s="9"/>
      <c r="L3870" s="9"/>
      <c r="M3870" s="9"/>
      <c r="N3870" s="9"/>
      <c r="O3870" s="9"/>
      <c r="P3870" s="9"/>
      <c r="Q3870" s="9"/>
      <c r="R3870" s="9"/>
      <c r="S3870" s="9"/>
      <c r="T3870" s="9"/>
      <c r="U3870" s="9"/>
      <c r="V3870" s="9"/>
      <c r="W3870" s="9"/>
      <c r="X3870" s="9"/>
      <c r="Y3870" s="9"/>
      <c r="Z3870" s="9"/>
      <c r="AA3870" s="9"/>
    </row>
    <row r="3871">
      <c r="A3871" s="9"/>
      <c r="B3871" s="9"/>
      <c r="C3871" s="9"/>
      <c r="D3871" s="9"/>
      <c r="E3871" s="9"/>
      <c r="F3871" s="9"/>
      <c r="G3871" s="10"/>
      <c r="H3871" s="9"/>
      <c r="I3871" s="15"/>
      <c r="J3871" s="9"/>
      <c r="K3871" s="9"/>
      <c r="L3871" s="9"/>
      <c r="M3871" s="9"/>
      <c r="N3871" s="9"/>
      <c r="O3871" s="9"/>
      <c r="P3871" s="9"/>
      <c r="Q3871" s="9"/>
      <c r="R3871" s="9"/>
      <c r="S3871" s="9"/>
      <c r="T3871" s="9"/>
      <c r="U3871" s="9"/>
      <c r="V3871" s="9"/>
      <c r="W3871" s="9"/>
      <c r="X3871" s="9"/>
      <c r="Y3871" s="9"/>
      <c r="Z3871" s="9"/>
      <c r="AA3871" s="9"/>
    </row>
    <row r="3872">
      <c r="A3872" s="9"/>
      <c r="B3872" s="9"/>
      <c r="C3872" s="9"/>
      <c r="D3872" s="9"/>
      <c r="E3872" s="9"/>
      <c r="F3872" s="9"/>
      <c r="G3872" s="10"/>
      <c r="H3872" s="9"/>
      <c r="I3872" s="15"/>
      <c r="J3872" s="9"/>
      <c r="K3872" s="9"/>
      <c r="L3872" s="9"/>
      <c r="M3872" s="9"/>
      <c r="N3872" s="9"/>
      <c r="O3872" s="9"/>
      <c r="P3872" s="9"/>
      <c r="Q3872" s="9"/>
      <c r="R3872" s="9"/>
      <c r="S3872" s="9"/>
      <c r="T3872" s="9"/>
      <c r="U3872" s="9"/>
      <c r="V3872" s="9"/>
      <c r="W3872" s="9"/>
      <c r="X3872" s="9"/>
      <c r="Y3872" s="9"/>
      <c r="Z3872" s="9"/>
      <c r="AA3872" s="9"/>
    </row>
    <row r="3873">
      <c r="A3873" s="9"/>
      <c r="B3873" s="9"/>
      <c r="C3873" s="9"/>
      <c r="D3873" s="9"/>
      <c r="E3873" s="9"/>
      <c r="F3873" s="9"/>
      <c r="G3873" s="10"/>
      <c r="H3873" s="9"/>
      <c r="I3873" s="15"/>
      <c r="J3873" s="9"/>
      <c r="K3873" s="9"/>
      <c r="L3873" s="9"/>
      <c r="M3873" s="9"/>
      <c r="N3873" s="9"/>
      <c r="O3873" s="9"/>
      <c r="P3873" s="9"/>
      <c r="Q3873" s="9"/>
      <c r="R3873" s="9"/>
      <c r="S3873" s="9"/>
      <c r="T3873" s="9"/>
      <c r="U3873" s="9"/>
      <c r="V3873" s="9"/>
      <c r="W3873" s="9"/>
      <c r="X3873" s="9"/>
      <c r="Y3873" s="9"/>
      <c r="Z3873" s="9"/>
      <c r="AA3873" s="9"/>
    </row>
    <row r="3874">
      <c r="A3874" s="9"/>
      <c r="B3874" s="9"/>
      <c r="C3874" s="9"/>
      <c r="D3874" s="9"/>
      <c r="E3874" s="9"/>
      <c r="F3874" s="9"/>
      <c r="G3874" s="10"/>
      <c r="H3874" s="9"/>
      <c r="I3874" s="15"/>
      <c r="J3874" s="9"/>
      <c r="K3874" s="9"/>
      <c r="L3874" s="9"/>
      <c r="M3874" s="9"/>
      <c r="N3874" s="9"/>
      <c r="O3874" s="9"/>
      <c r="P3874" s="9"/>
      <c r="Q3874" s="9"/>
      <c r="R3874" s="9"/>
      <c r="S3874" s="9"/>
      <c r="T3874" s="9"/>
      <c r="U3874" s="9"/>
      <c r="V3874" s="9"/>
      <c r="W3874" s="9"/>
      <c r="X3874" s="9"/>
      <c r="Y3874" s="9"/>
      <c r="Z3874" s="9"/>
      <c r="AA3874" s="9"/>
    </row>
    <row r="3875">
      <c r="A3875" s="9"/>
      <c r="B3875" s="9"/>
      <c r="C3875" s="9"/>
      <c r="D3875" s="9"/>
      <c r="E3875" s="9"/>
      <c r="F3875" s="9"/>
      <c r="G3875" s="10"/>
      <c r="H3875" s="9"/>
      <c r="I3875" s="15"/>
      <c r="J3875" s="9"/>
      <c r="K3875" s="9"/>
      <c r="L3875" s="9"/>
      <c r="M3875" s="9"/>
      <c r="N3875" s="9"/>
      <c r="O3875" s="9"/>
      <c r="P3875" s="9"/>
      <c r="Q3875" s="9"/>
      <c r="R3875" s="9"/>
      <c r="S3875" s="9"/>
      <c r="T3875" s="9"/>
      <c r="U3875" s="9"/>
      <c r="V3875" s="9"/>
      <c r="W3875" s="9"/>
      <c r="X3875" s="9"/>
      <c r="Y3875" s="9"/>
      <c r="Z3875" s="9"/>
      <c r="AA3875" s="9"/>
    </row>
    <row r="3876">
      <c r="A3876" s="9"/>
      <c r="B3876" s="9"/>
      <c r="C3876" s="9"/>
      <c r="D3876" s="9"/>
      <c r="E3876" s="9"/>
      <c r="F3876" s="9"/>
      <c r="G3876" s="10"/>
      <c r="H3876" s="9"/>
      <c r="I3876" s="15"/>
      <c r="J3876" s="9"/>
      <c r="K3876" s="9"/>
      <c r="L3876" s="9"/>
      <c r="M3876" s="9"/>
      <c r="N3876" s="9"/>
      <c r="O3876" s="9"/>
      <c r="P3876" s="9"/>
      <c r="Q3876" s="9"/>
      <c r="R3876" s="9"/>
      <c r="S3876" s="9"/>
      <c r="T3876" s="9"/>
      <c r="U3876" s="9"/>
      <c r="V3876" s="9"/>
      <c r="W3876" s="9"/>
      <c r="X3876" s="9"/>
      <c r="Y3876" s="9"/>
      <c r="Z3876" s="9"/>
      <c r="AA3876" s="9"/>
    </row>
    <row r="3877">
      <c r="A3877" s="9"/>
      <c r="B3877" s="9"/>
      <c r="C3877" s="9"/>
      <c r="D3877" s="9"/>
      <c r="E3877" s="9"/>
      <c r="F3877" s="9"/>
      <c r="G3877" s="10"/>
      <c r="H3877" s="9"/>
      <c r="I3877" s="15"/>
      <c r="J3877" s="9"/>
      <c r="K3877" s="9"/>
      <c r="L3877" s="9"/>
      <c r="M3877" s="9"/>
      <c r="N3877" s="9"/>
      <c r="O3877" s="9"/>
      <c r="P3877" s="9"/>
      <c r="Q3877" s="9"/>
      <c r="R3877" s="9"/>
      <c r="S3877" s="9"/>
      <c r="T3877" s="9"/>
      <c r="U3877" s="9"/>
      <c r="V3877" s="9"/>
      <c r="W3877" s="9"/>
      <c r="X3877" s="9"/>
      <c r="Y3877" s="9"/>
      <c r="Z3877" s="9"/>
      <c r="AA3877" s="9"/>
    </row>
    <row r="3878">
      <c r="A3878" s="9"/>
      <c r="B3878" s="9"/>
      <c r="C3878" s="9"/>
      <c r="D3878" s="9"/>
      <c r="E3878" s="9"/>
      <c r="F3878" s="9"/>
      <c r="G3878" s="10"/>
      <c r="H3878" s="9"/>
      <c r="I3878" s="15"/>
      <c r="J3878" s="9"/>
      <c r="K3878" s="9"/>
      <c r="L3878" s="9"/>
      <c r="M3878" s="9"/>
      <c r="N3878" s="9"/>
      <c r="O3878" s="9"/>
      <c r="P3878" s="9"/>
      <c r="Q3878" s="9"/>
      <c r="R3878" s="9"/>
      <c r="S3878" s="9"/>
      <c r="T3878" s="9"/>
      <c r="U3878" s="9"/>
      <c r="V3878" s="9"/>
      <c r="W3878" s="9"/>
      <c r="X3878" s="9"/>
      <c r="Y3878" s="9"/>
      <c r="Z3878" s="9"/>
      <c r="AA3878" s="9"/>
    </row>
    <row r="3879">
      <c r="A3879" s="9"/>
      <c r="B3879" s="9"/>
      <c r="C3879" s="9"/>
      <c r="D3879" s="9"/>
      <c r="E3879" s="9"/>
      <c r="F3879" s="9"/>
      <c r="G3879" s="10"/>
      <c r="H3879" s="9"/>
      <c r="I3879" s="15"/>
      <c r="J3879" s="9"/>
      <c r="K3879" s="9"/>
      <c r="L3879" s="9"/>
      <c r="M3879" s="9"/>
      <c r="N3879" s="9"/>
      <c r="O3879" s="9"/>
      <c r="P3879" s="9"/>
      <c r="Q3879" s="9"/>
      <c r="R3879" s="9"/>
      <c r="S3879" s="9"/>
      <c r="T3879" s="9"/>
      <c r="U3879" s="9"/>
      <c r="V3879" s="9"/>
      <c r="W3879" s="9"/>
      <c r="X3879" s="9"/>
      <c r="Y3879" s="9"/>
      <c r="Z3879" s="9"/>
      <c r="AA3879" s="9"/>
    </row>
    <row r="3880">
      <c r="A3880" s="9"/>
      <c r="B3880" s="9"/>
      <c r="C3880" s="9"/>
      <c r="D3880" s="9"/>
      <c r="E3880" s="9"/>
      <c r="F3880" s="9"/>
      <c r="G3880" s="10"/>
      <c r="H3880" s="9"/>
      <c r="I3880" s="15"/>
      <c r="J3880" s="9"/>
      <c r="K3880" s="9"/>
      <c r="L3880" s="9"/>
      <c r="M3880" s="9"/>
      <c r="N3880" s="9"/>
      <c r="O3880" s="9"/>
      <c r="P3880" s="9"/>
      <c r="Q3880" s="9"/>
      <c r="R3880" s="9"/>
      <c r="S3880" s="9"/>
      <c r="T3880" s="9"/>
      <c r="U3880" s="9"/>
      <c r="V3880" s="9"/>
      <c r="W3880" s="9"/>
      <c r="X3880" s="9"/>
      <c r="Y3880" s="9"/>
      <c r="Z3880" s="9"/>
      <c r="AA3880" s="9"/>
    </row>
    <row r="3881">
      <c r="A3881" s="9"/>
      <c r="B3881" s="9"/>
      <c r="C3881" s="9"/>
      <c r="D3881" s="9"/>
      <c r="E3881" s="9"/>
      <c r="F3881" s="9"/>
      <c r="G3881" s="10"/>
      <c r="H3881" s="9"/>
      <c r="I3881" s="15"/>
      <c r="J3881" s="9"/>
      <c r="K3881" s="9"/>
      <c r="L3881" s="9"/>
      <c r="M3881" s="9"/>
      <c r="N3881" s="9"/>
      <c r="O3881" s="9"/>
      <c r="P3881" s="9"/>
      <c r="Q3881" s="9"/>
      <c r="R3881" s="9"/>
      <c r="S3881" s="9"/>
      <c r="T3881" s="9"/>
      <c r="U3881" s="9"/>
      <c r="V3881" s="9"/>
      <c r="W3881" s="9"/>
      <c r="X3881" s="9"/>
      <c r="Y3881" s="9"/>
      <c r="Z3881" s="9"/>
      <c r="AA3881" s="9"/>
    </row>
    <row r="3882">
      <c r="A3882" s="9"/>
      <c r="B3882" s="9"/>
      <c r="C3882" s="9"/>
      <c r="D3882" s="9"/>
      <c r="E3882" s="9"/>
      <c r="F3882" s="9"/>
      <c r="G3882" s="10"/>
      <c r="H3882" s="9"/>
      <c r="I3882" s="15"/>
      <c r="J3882" s="9"/>
      <c r="K3882" s="9"/>
      <c r="L3882" s="9"/>
      <c r="M3882" s="9"/>
      <c r="N3882" s="9"/>
      <c r="O3882" s="9"/>
      <c r="P3882" s="9"/>
      <c r="Q3882" s="9"/>
      <c r="R3882" s="9"/>
      <c r="S3882" s="9"/>
      <c r="T3882" s="9"/>
      <c r="U3882" s="9"/>
      <c r="V3882" s="9"/>
      <c r="W3882" s="9"/>
      <c r="X3882" s="9"/>
      <c r="Y3882" s="9"/>
      <c r="Z3882" s="9"/>
      <c r="AA3882" s="9"/>
    </row>
    <row r="3883">
      <c r="A3883" s="9"/>
      <c r="B3883" s="9"/>
      <c r="C3883" s="9"/>
      <c r="D3883" s="9"/>
      <c r="E3883" s="9"/>
      <c r="F3883" s="9"/>
      <c r="G3883" s="10"/>
      <c r="H3883" s="9"/>
      <c r="I3883" s="15"/>
      <c r="J3883" s="9"/>
      <c r="K3883" s="9"/>
      <c r="L3883" s="9"/>
      <c r="M3883" s="9"/>
      <c r="N3883" s="9"/>
      <c r="O3883" s="9"/>
      <c r="P3883" s="9"/>
      <c r="Q3883" s="9"/>
      <c r="R3883" s="9"/>
      <c r="S3883" s="9"/>
      <c r="T3883" s="9"/>
      <c r="U3883" s="9"/>
      <c r="V3883" s="9"/>
      <c r="W3883" s="9"/>
      <c r="X3883" s="9"/>
      <c r="Y3883" s="9"/>
      <c r="Z3883" s="9"/>
      <c r="AA3883" s="9"/>
    </row>
    <row r="3884">
      <c r="A3884" s="9"/>
      <c r="B3884" s="9"/>
      <c r="C3884" s="9"/>
      <c r="D3884" s="9"/>
      <c r="E3884" s="9"/>
      <c r="F3884" s="9"/>
      <c r="G3884" s="10"/>
      <c r="H3884" s="9"/>
      <c r="I3884" s="15"/>
      <c r="J3884" s="9"/>
      <c r="K3884" s="9"/>
      <c r="L3884" s="9"/>
      <c r="M3884" s="9"/>
      <c r="N3884" s="9"/>
      <c r="O3884" s="9"/>
      <c r="P3884" s="9"/>
      <c r="Q3884" s="9"/>
      <c r="R3884" s="9"/>
      <c r="S3884" s="9"/>
      <c r="T3884" s="9"/>
      <c r="U3884" s="9"/>
      <c r="V3884" s="9"/>
      <c r="W3884" s="9"/>
      <c r="X3884" s="9"/>
      <c r="Y3884" s="9"/>
      <c r="Z3884" s="9"/>
      <c r="AA3884" s="9"/>
    </row>
    <row r="3885">
      <c r="A3885" s="9"/>
      <c r="B3885" s="9"/>
      <c r="C3885" s="9"/>
      <c r="D3885" s="9"/>
      <c r="E3885" s="9"/>
      <c r="F3885" s="9"/>
      <c r="G3885" s="10"/>
      <c r="H3885" s="9"/>
      <c r="I3885" s="15"/>
      <c r="J3885" s="9"/>
      <c r="K3885" s="9"/>
      <c r="L3885" s="9"/>
      <c r="M3885" s="9"/>
      <c r="N3885" s="9"/>
      <c r="O3885" s="9"/>
      <c r="P3885" s="9"/>
      <c r="Q3885" s="9"/>
      <c r="R3885" s="9"/>
      <c r="S3885" s="9"/>
      <c r="T3885" s="9"/>
      <c r="U3885" s="9"/>
      <c r="V3885" s="9"/>
      <c r="W3885" s="9"/>
      <c r="X3885" s="9"/>
      <c r="Y3885" s="9"/>
      <c r="Z3885" s="9"/>
      <c r="AA3885" s="9"/>
    </row>
    <row r="3886">
      <c r="A3886" s="9"/>
      <c r="B3886" s="9"/>
      <c r="C3886" s="9"/>
      <c r="D3886" s="9"/>
      <c r="E3886" s="9"/>
      <c r="F3886" s="9"/>
      <c r="G3886" s="10"/>
      <c r="H3886" s="9"/>
      <c r="I3886" s="15"/>
      <c r="J3886" s="9"/>
      <c r="K3886" s="9"/>
      <c r="L3886" s="9"/>
      <c r="M3886" s="9"/>
      <c r="N3886" s="9"/>
      <c r="O3886" s="9"/>
      <c r="P3886" s="9"/>
      <c r="Q3886" s="9"/>
      <c r="R3886" s="9"/>
      <c r="S3886" s="9"/>
      <c r="T3886" s="9"/>
      <c r="U3886" s="9"/>
      <c r="V3886" s="9"/>
      <c r="W3886" s="9"/>
      <c r="X3886" s="9"/>
      <c r="Y3886" s="9"/>
      <c r="Z3886" s="9"/>
      <c r="AA3886" s="9"/>
    </row>
    <row r="3887">
      <c r="A3887" s="9"/>
      <c r="B3887" s="9"/>
      <c r="C3887" s="9"/>
      <c r="D3887" s="9"/>
      <c r="E3887" s="9"/>
      <c r="F3887" s="9"/>
      <c r="G3887" s="10"/>
      <c r="H3887" s="9"/>
      <c r="I3887" s="15"/>
      <c r="J3887" s="9"/>
      <c r="K3887" s="9"/>
      <c r="L3887" s="9"/>
      <c r="M3887" s="9"/>
      <c r="N3887" s="9"/>
      <c r="O3887" s="9"/>
      <c r="P3887" s="9"/>
      <c r="Q3887" s="9"/>
      <c r="R3887" s="9"/>
      <c r="S3887" s="9"/>
      <c r="T3887" s="9"/>
      <c r="U3887" s="9"/>
      <c r="V3887" s="9"/>
      <c r="W3887" s="9"/>
      <c r="X3887" s="9"/>
      <c r="Y3887" s="9"/>
      <c r="Z3887" s="9"/>
      <c r="AA3887" s="9"/>
    </row>
    <row r="3888">
      <c r="A3888" s="9"/>
      <c r="B3888" s="9"/>
      <c r="C3888" s="9"/>
      <c r="D3888" s="9"/>
      <c r="E3888" s="9"/>
      <c r="F3888" s="9"/>
      <c r="G3888" s="10"/>
      <c r="H3888" s="9"/>
      <c r="I3888" s="15"/>
      <c r="J3888" s="9"/>
      <c r="K3888" s="9"/>
      <c r="L3888" s="9"/>
      <c r="M3888" s="9"/>
      <c r="N3888" s="9"/>
      <c r="O3888" s="9"/>
      <c r="P3888" s="9"/>
      <c r="Q3888" s="9"/>
      <c r="R3888" s="9"/>
      <c r="S3888" s="9"/>
      <c r="T3888" s="9"/>
      <c r="U3888" s="9"/>
      <c r="V3888" s="9"/>
      <c r="W3888" s="9"/>
      <c r="X3888" s="9"/>
      <c r="Y3888" s="9"/>
      <c r="Z3888" s="9"/>
      <c r="AA3888" s="9"/>
    </row>
    <row r="3889">
      <c r="A3889" s="9"/>
      <c r="B3889" s="9"/>
      <c r="C3889" s="9"/>
      <c r="D3889" s="9"/>
      <c r="E3889" s="9"/>
      <c r="F3889" s="9"/>
      <c r="G3889" s="10"/>
      <c r="H3889" s="9"/>
      <c r="I3889" s="15"/>
      <c r="J3889" s="9"/>
      <c r="K3889" s="9"/>
      <c r="L3889" s="9"/>
      <c r="M3889" s="9"/>
      <c r="N3889" s="9"/>
      <c r="O3889" s="9"/>
      <c r="P3889" s="9"/>
      <c r="Q3889" s="9"/>
      <c r="R3889" s="9"/>
      <c r="S3889" s="9"/>
      <c r="T3889" s="9"/>
      <c r="U3889" s="9"/>
      <c r="V3889" s="9"/>
      <c r="W3889" s="9"/>
      <c r="X3889" s="9"/>
      <c r="Y3889" s="9"/>
      <c r="Z3889" s="9"/>
      <c r="AA3889" s="9"/>
    </row>
    <row r="3890">
      <c r="A3890" s="9"/>
      <c r="B3890" s="9"/>
      <c r="C3890" s="9"/>
      <c r="D3890" s="9"/>
      <c r="E3890" s="9"/>
      <c r="F3890" s="9"/>
      <c r="G3890" s="10"/>
      <c r="H3890" s="9"/>
      <c r="I3890" s="15"/>
      <c r="J3890" s="9"/>
      <c r="K3890" s="9"/>
      <c r="L3890" s="9"/>
      <c r="M3890" s="9"/>
      <c r="N3890" s="9"/>
      <c r="O3890" s="9"/>
      <c r="P3890" s="9"/>
      <c r="Q3890" s="9"/>
      <c r="R3890" s="9"/>
      <c r="S3890" s="9"/>
      <c r="T3890" s="9"/>
      <c r="U3890" s="9"/>
      <c r="V3890" s="9"/>
      <c r="W3890" s="9"/>
      <c r="X3890" s="9"/>
      <c r="Y3890" s="9"/>
      <c r="Z3890" s="9"/>
      <c r="AA3890" s="9"/>
    </row>
    <row r="3891">
      <c r="A3891" s="9"/>
      <c r="B3891" s="9"/>
      <c r="C3891" s="9"/>
      <c r="D3891" s="9"/>
      <c r="E3891" s="9"/>
      <c r="F3891" s="9"/>
      <c r="G3891" s="10"/>
      <c r="H3891" s="9"/>
      <c r="I3891" s="15"/>
      <c r="J3891" s="9"/>
      <c r="K3891" s="9"/>
      <c r="L3891" s="9"/>
      <c r="M3891" s="9"/>
      <c r="N3891" s="9"/>
      <c r="O3891" s="9"/>
      <c r="P3891" s="9"/>
      <c r="Q3891" s="9"/>
      <c r="R3891" s="9"/>
      <c r="S3891" s="9"/>
      <c r="T3891" s="9"/>
      <c r="U3891" s="9"/>
      <c r="V3891" s="9"/>
      <c r="W3891" s="9"/>
      <c r="X3891" s="9"/>
      <c r="Y3891" s="9"/>
      <c r="Z3891" s="9"/>
      <c r="AA3891" s="9"/>
    </row>
    <row r="3892">
      <c r="A3892" s="9"/>
      <c r="B3892" s="9"/>
      <c r="C3892" s="9"/>
      <c r="D3892" s="9"/>
      <c r="E3892" s="9"/>
      <c r="F3892" s="9"/>
      <c r="G3892" s="10"/>
      <c r="H3892" s="9"/>
      <c r="I3892" s="15"/>
      <c r="J3892" s="9"/>
      <c r="K3892" s="9"/>
      <c r="L3892" s="9"/>
      <c r="M3892" s="9"/>
      <c r="N3892" s="9"/>
      <c r="O3892" s="9"/>
      <c r="P3892" s="9"/>
      <c r="Q3892" s="9"/>
      <c r="R3892" s="9"/>
      <c r="S3892" s="9"/>
      <c r="T3892" s="9"/>
      <c r="U3892" s="9"/>
      <c r="V3892" s="9"/>
      <c r="W3892" s="9"/>
      <c r="X3892" s="9"/>
      <c r="Y3892" s="9"/>
      <c r="Z3892" s="9"/>
      <c r="AA3892" s="9"/>
    </row>
    <row r="3893">
      <c r="A3893" s="9"/>
      <c r="B3893" s="9"/>
      <c r="C3893" s="9"/>
      <c r="D3893" s="9"/>
      <c r="E3893" s="9"/>
      <c r="F3893" s="9"/>
      <c r="G3893" s="10"/>
      <c r="H3893" s="9"/>
      <c r="I3893" s="15"/>
      <c r="J3893" s="9"/>
      <c r="K3893" s="9"/>
      <c r="L3893" s="9"/>
      <c r="M3893" s="9"/>
      <c r="N3893" s="9"/>
      <c r="O3893" s="9"/>
      <c r="P3893" s="9"/>
      <c r="Q3893" s="9"/>
      <c r="R3893" s="9"/>
      <c r="S3893" s="9"/>
      <c r="T3893" s="9"/>
      <c r="U3893" s="9"/>
      <c r="V3893" s="9"/>
      <c r="W3893" s="9"/>
      <c r="X3893" s="9"/>
      <c r="Y3893" s="9"/>
      <c r="Z3893" s="9"/>
      <c r="AA3893" s="9"/>
    </row>
    <row r="3894">
      <c r="A3894" s="9"/>
      <c r="B3894" s="9"/>
      <c r="C3894" s="9"/>
      <c r="D3894" s="9"/>
      <c r="E3894" s="9"/>
      <c r="F3894" s="9"/>
      <c r="G3894" s="10"/>
      <c r="H3894" s="9"/>
      <c r="I3894" s="15"/>
      <c r="J3894" s="9"/>
      <c r="K3894" s="9"/>
      <c r="L3894" s="9"/>
      <c r="M3894" s="9"/>
      <c r="N3894" s="9"/>
      <c r="O3894" s="9"/>
      <c r="P3894" s="9"/>
      <c r="Q3894" s="9"/>
      <c r="R3894" s="9"/>
      <c r="S3894" s="9"/>
      <c r="T3894" s="9"/>
      <c r="U3894" s="9"/>
      <c r="V3894" s="9"/>
      <c r="W3894" s="9"/>
      <c r="X3894" s="9"/>
      <c r="Y3894" s="9"/>
      <c r="Z3894" s="9"/>
      <c r="AA3894" s="9"/>
    </row>
    <row r="3895">
      <c r="A3895" s="9"/>
      <c r="B3895" s="9"/>
      <c r="C3895" s="9"/>
      <c r="D3895" s="9"/>
      <c r="E3895" s="9"/>
      <c r="F3895" s="9"/>
      <c r="G3895" s="10"/>
      <c r="H3895" s="9"/>
      <c r="I3895" s="15"/>
      <c r="J3895" s="9"/>
      <c r="K3895" s="9"/>
      <c r="L3895" s="9"/>
      <c r="M3895" s="9"/>
      <c r="N3895" s="9"/>
      <c r="O3895" s="9"/>
      <c r="P3895" s="9"/>
      <c r="Q3895" s="9"/>
      <c r="R3895" s="9"/>
      <c r="S3895" s="9"/>
      <c r="T3895" s="9"/>
      <c r="U3895" s="9"/>
      <c r="V3895" s="9"/>
      <c r="W3895" s="9"/>
      <c r="X3895" s="9"/>
      <c r="Y3895" s="9"/>
      <c r="Z3895" s="9"/>
      <c r="AA3895" s="9"/>
    </row>
    <row r="3896">
      <c r="A3896" s="9"/>
      <c r="B3896" s="9"/>
      <c r="C3896" s="9"/>
      <c r="D3896" s="9"/>
      <c r="E3896" s="9"/>
      <c r="F3896" s="9"/>
      <c r="G3896" s="10"/>
      <c r="H3896" s="9"/>
      <c r="I3896" s="15"/>
      <c r="J3896" s="9"/>
      <c r="K3896" s="9"/>
      <c r="L3896" s="9"/>
      <c r="M3896" s="9"/>
      <c r="N3896" s="9"/>
      <c r="O3896" s="9"/>
      <c r="P3896" s="9"/>
      <c r="Q3896" s="9"/>
      <c r="R3896" s="9"/>
      <c r="S3896" s="9"/>
      <c r="T3896" s="9"/>
      <c r="U3896" s="9"/>
      <c r="V3896" s="9"/>
      <c r="W3896" s="9"/>
      <c r="X3896" s="9"/>
      <c r="Y3896" s="9"/>
      <c r="Z3896" s="9"/>
      <c r="AA3896" s="9"/>
    </row>
    <row r="3897">
      <c r="A3897" s="9"/>
      <c r="B3897" s="9"/>
      <c r="C3897" s="9"/>
      <c r="D3897" s="9"/>
      <c r="E3897" s="9"/>
      <c r="F3897" s="9"/>
      <c r="G3897" s="10"/>
      <c r="H3897" s="9"/>
      <c r="I3897" s="15"/>
      <c r="J3897" s="9"/>
      <c r="K3897" s="9"/>
      <c r="L3897" s="9"/>
      <c r="M3897" s="9"/>
      <c r="N3897" s="9"/>
      <c r="O3897" s="9"/>
      <c r="P3897" s="9"/>
      <c r="Q3897" s="9"/>
      <c r="R3897" s="9"/>
      <c r="S3897" s="9"/>
      <c r="T3897" s="9"/>
      <c r="U3897" s="9"/>
      <c r="V3897" s="9"/>
      <c r="W3897" s="9"/>
      <c r="X3897" s="9"/>
      <c r="Y3897" s="9"/>
      <c r="Z3897" s="9"/>
      <c r="AA3897" s="9"/>
    </row>
    <row r="3898">
      <c r="A3898" s="9"/>
      <c r="B3898" s="9"/>
      <c r="C3898" s="9"/>
      <c r="D3898" s="9"/>
      <c r="E3898" s="9"/>
      <c r="F3898" s="9"/>
      <c r="G3898" s="10"/>
      <c r="H3898" s="9"/>
      <c r="I3898" s="15"/>
      <c r="J3898" s="9"/>
      <c r="K3898" s="9"/>
      <c r="L3898" s="9"/>
      <c r="M3898" s="9"/>
      <c r="N3898" s="9"/>
      <c r="O3898" s="9"/>
      <c r="P3898" s="9"/>
      <c r="Q3898" s="9"/>
      <c r="R3898" s="9"/>
      <c r="S3898" s="9"/>
      <c r="T3898" s="9"/>
      <c r="U3898" s="9"/>
      <c r="V3898" s="9"/>
      <c r="W3898" s="9"/>
      <c r="X3898" s="9"/>
      <c r="Y3898" s="9"/>
      <c r="Z3898" s="9"/>
      <c r="AA3898" s="9"/>
    </row>
    <row r="3899">
      <c r="A3899" s="9"/>
      <c r="B3899" s="9"/>
      <c r="C3899" s="9"/>
      <c r="D3899" s="9"/>
      <c r="E3899" s="9"/>
      <c r="F3899" s="9"/>
      <c r="G3899" s="10"/>
      <c r="H3899" s="9"/>
      <c r="I3899" s="15"/>
      <c r="J3899" s="9"/>
      <c r="K3899" s="9"/>
      <c r="L3899" s="9"/>
      <c r="M3899" s="9"/>
      <c r="N3899" s="9"/>
      <c r="O3899" s="9"/>
      <c r="P3899" s="9"/>
      <c r="Q3899" s="9"/>
      <c r="R3899" s="9"/>
      <c r="S3899" s="9"/>
      <c r="T3899" s="9"/>
      <c r="U3899" s="9"/>
      <c r="V3899" s="9"/>
      <c r="W3899" s="9"/>
      <c r="X3899" s="9"/>
      <c r="Y3899" s="9"/>
      <c r="Z3899" s="9"/>
      <c r="AA3899" s="9"/>
    </row>
    <row r="3900">
      <c r="A3900" s="9"/>
      <c r="B3900" s="9"/>
      <c r="C3900" s="9"/>
      <c r="D3900" s="9"/>
      <c r="E3900" s="9"/>
      <c r="F3900" s="9"/>
      <c r="G3900" s="10"/>
      <c r="H3900" s="9"/>
      <c r="I3900" s="15"/>
      <c r="J3900" s="9"/>
      <c r="K3900" s="9"/>
      <c r="L3900" s="9"/>
      <c r="M3900" s="9"/>
      <c r="N3900" s="9"/>
      <c r="O3900" s="9"/>
      <c r="P3900" s="9"/>
      <c r="Q3900" s="9"/>
      <c r="R3900" s="9"/>
      <c r="S3900" s="9"/>
      <c r="T3900" s="9"/>
      <c r="U3900" s="9"/>
      <c r="V3900" s="9"/>
      <c r="W3900" s="9"/>
      <c r="X3900" s="9"/>
      <c r="Y3900" s="9"/>
      <c r="Z3900" s="9"/>
      <c r="AA3900" s="9"/>
    </row>
    <row r="3901">
      <c r="A3901" s="9"/>
      <c r="B3901" s="9"/>
      <c r="C3901" s="9"/>
      <c r="D3901" s="9"/>
      <c r="E3901" s="9"/>
      <c r="F3901" s="9"/>
      <c r="G3901" s="10"/>
      <c r="H3901" s="9"/>
      <c r="I3901" s="15"/>
      <c r="J3901" s="9"/>
      <c r="K3901" s="9"/>
      <c r="L3901" s="9"/>
      <c r="M3901" s="9"/>
      <c r="N3901" s="9"/>
      <c r="O3901" s="9"/>
      <c r="P3901" s="9"/>
      <c r="Q3901" s="9"/>
      <c r="R3901" s="9"/>
      <c r="S3901" s="9"/>
      <c r="T3901" s="9"/>
      <c r="U3901" s="9"/>
      <c r="V3901" s="9"/>
      <c r="W3901" s="9"/>
      <c r="X3901" s="9"/>
      <c r="Y3901" s="9"/>
      <c r="Z3901" s="9"/>
      <c r="AA3901" s="9"/>
    </row>
    <row r="3902">
      <c r="A3902" s="9"/>
      <c r="B3902" s="9"/>
      <c r="C3902" s="9"/>
      <c r="D3902" s="9"/>
      <c r="E3902" s="9"/>
      <c r="F3902" s="9"/>
      <c r="G3902" s="10"/>
      <c r="H3902" s="9"/>
      <c r="I3902" s="15"/>
      <c r="J3902" s="9"/>
      <c r="K3902" s="9"/>
      <c r="L3902" s="9"/>
      <c r="M3902" s="9"/>
      <c r="N3902" s="9"/>
      <c r="O3902" s="9"/>
      <c r="P3902" s="9"/>
      <c r="Q3902" s="9"/>
      <c r="R3902" s="9"/>
      <c r="S3902" s="9"/>
      <c r="T3902" s="9"/>
      <c r="U3902" s="9"/>
      <c r="V3902" s="9"/>
      <c r="W3902" s="9"/>
      <c r="X3902" s="9"/>
      <c r="Y3902" s="9"/>
      <c r="Z3902" s="9"/>
      <c r="AA3902" s="9"/>
    </row>
    <row r="3903">
      <c r="A3903" s="9"/>
      <c r="B3903" s="9"/>
      <c r="C3903" s="9"/>
      <c r="D3903" s="9"/>
      <c r="E3903" s="9"/>
      <c r="F3903" s="9"/>
      <c r="G3903" s="10"/>
      <c r="H3903" s="9"/>
      <c r="I3903" s="15"/>
      <c r="J3903" s="9"/>
      <c r="K3903" s="9"/>
      <c r="L3903" s="9"/>
      <c r="M3903" s="9"/>
      <c r="N3903" s="9"/>
      <c r="O3903" s="9"/>
      <c r="P3903" s="9"/>
      <c r="Q3903" s="9"/>
      <c r="R3903" s="9"/>
      <c r="S3903" s="9"/>
      <c r="T3903" s="9"/>
      <c r="U3903" s="9"/>
      <c r="V3903" s="9"/>
      <c r="W3903" s="9"/>
      <c r="X3903" s="9"/>
      <c r="Y3903" s="9"/>
      <c r="Z3903" s="9"/>
      <c r="AA3903" s="9"/>
    </row>
    <row r="3904">
      <c r="A3904" s="9"/>
      <c r="B3904" s="9"/>
      <c r="C3904" s="9"/>
      <c r="D3904" s="9"/>
      <c r="E3904" s="9"/>
      <c r="F3904" s="9"/>
      <c r="G3904" s="10"/>
      <c r="H3904" s="9"/>
      <c r="I3904" s="15"/>
      <c r="J3904" s="9"/>
      <c r="K3904" s="9"/>
      <c r="L3904" s="9"/>
      <c r="M3904" s="9"/>
      <c r="N3904" s="9"/>
      <c r="O3904" s="9"/>
      <c r="P3904" s="9"/>
      <c r="Q3904" s="9"/>
      <c r="R3904" s="9"/>
      <c r="S3904" s="9"/>
      <c r="T3904" s="9"/>
      <c r="U3904" s="9"/>
      <c r="V3904" s="9"/>
      <c r="W3904" s="9"/>
      <c r="X3904" s="9"/>
      <c r="Y3904" s="9"/>
      <c r="Z3904" s="9"/>
      <c r="AA3904" s="9"/>
    </row>
    <row r="3905">
      <c r="A3905" s="9"/>
      <c r="B3905" s="9"/>
      <c r="C3905" s="9"/>
      <c r="D3905" s="9"/>
      <c r="E3905" s="9"/>
      <c r="F3905" s="9"/>
      <c r="G3905" s="10"/>
      <c r="H3905" s="9"/>
      <c r="I3905" s="15"/>
      <c r="J3905" s="9"/>
      <c r="K3905" s="9"/>
      <c r="L3905" s="9"/>
      <c r="M3905" s="9"/>
      <c r="N3905" s="9"/>
      <c r="O3905" s="9"/>
      <c r="P3905" s="9"/>
      <c r="Q3905" s="9"/>
      <c r="R3905" s="9"/>
      <c r="S3905" s="9"/>
      <c r="T3905" s="9"/>
      <c r="U3905" s="9"/>
      <c r="V3905" s="9"/>
      <c r="W3905" s="9"/>
      <c r="X3905" s="9"/>
      <c r="Y3905" s="9"/>
      <c r="Z3905" s="9"/>
      <c r="AA3905" s="9"/>
    </row>
    <row r="3906">
      <c r="A3906" s="9"/>
      <c r="B3906" s="9"/>
      <c r="C3906" s="9"/>
      <c r="D3906" s="9"/>
      <c r="E3906" s="9"/>
      <c r="F3906" s="9"/>
      <c r="G3906" s="10"/>
      <c r="H3906" s="9"/>
      <c r="I3906" s="15"/>
      <c r="J3906" s="9"/>
      <c r="K3906" s="9"/>
      <c r="L3906" s="9"/>
      <c r="M3906" s="9"/>
      <c r="N3906" s="9"/>
      <c r="O3906" s="9"/>
      <c r="P3906" s="9"/>
      <c r="Q3906" s="9"/>
      <c r="R3906" s="9"/>
      <c r="S3906" s="9"/>
      <c r="T3906" s="9"/>
      <c r="U3906" s="9"/>
      <c r="V3906" s="9"/>
      <c r="W3906" s="9"/>
      <c r="X3906" s="9"/>
      <c r="Y3906" s="9"/>
      <c r="Z3906" s="9"/>
      <c r="AA3906" s="9"/>
    </row>
    <row r="3907">
      <c r="A3907" s="9"/>
      <c r="B3907" s="9"/>
      <c r="C3907" s="9"/>
      <c r="D3907" s="9"/>
      <c r="E3907" s="9"/>
      <c r="F3907" s="9"/>
      <c r="G3907" s="10"/>
      <c r="H3907" s="9"/>
      <c r="I3907" s="15"/>
      <c r="J3907" s="9"/>
      <c r="K3907" s="9"/>
      <c r="L3907" s="9"/>
      <c r="M3907" s="9"/>
      <c r="N3907" s="9"/>
      <c r="O3907" s="9"/>
      <c r="P3907" s="9"/>
      <c r="Q3907" s="9"/>
      <c r="R3907" s="9"/>
      <c r="S3907" s="9"/>
      <c r="T3907" s="9"/>
      <c r="U3907" s="9"/>
      <c r="V3907" s="9"/>
      <c r="W3907" s="9"/>
      <c r="X3907" s="9"/>
      <c r="Y3907" s="9"/>
      <c r="Z3907" s="9"/>
      <c r="AA3907" s="9"/>
    </row>
    <row r="3908">
      <c r="A3908" s="9"/>
      <c r="B3908" s="9"/>
      <c r="C3908" s="9"/>
      <c r="D3908" s="9"/>
      <c r="E3908" s="9"/>
      <c r="F3908" s="9"/>
      <c r="G3908" s="10"/>
      <c r="H3908" s="9"/>
      <c r="I3908" s="15"/>
      <c r="J3908" s="9"/>
      <c r="K3908" s="9"/>
      <c r="L3908" s="9"/>
      <c r="M3908" s="9"/>
      <c r="N3908" s="9"/>
      <c r="O3908" s="9"/>
      <c r="P3908" s="9"/>
      <c r="Q3908" s="9"/>
      <c r="R3908" s="9"/>
      <c r="S3908" s="9"/>
      <c r="T3908" s="9"/>
      <c r="U3908" s="9"/>
      <c r="V3908" s="9"/>
      <c r="W3908" s="9"/>
      <c r="X3908" s="9"/>
      <c r="Y3908" s="9"/>
      <c r="Z3908" s="9"/>
      <c r="AA3908" s="9"/>
    </row>
    <row r="3909">
      <c r="A3909" s="9"/>
      <c r="B3909" s="9"/>
      <c r="C3909" s="9"/>
      <c r="D3909" s="9"/>
      <c r="E3909" s="9"/>
      <c r="F3909" s="9"/>
      <c r="G3909" s="10"/>
      <c r="H3909" s="9"/>
      <c r="I3909" s="15"/>
      <c r="J3909" s="9"/>
      <c r="K3909" s="9"/>
      <c r="L3909" s="9"/>
      <c r="M3909" s="9"/>
      <c r="N3909" s="9"/>
      <c r="O3909" s="9"/>
      <c r="P3909" s="9"/>
      <c r="Q3909" s="9"/>
      <c r="R3909" s="9"/>
      <c r="S3909" s="9"/>
      <c r="T3909" s="9"/>
      <c r="U3909" s="9"/>
      <c r="V3909" s="9"/>
      <c r="W3909" s="9"/>
      <c r="X3909" s="9"/>
      <c r="Y3909" s="9"/>
      <c r="Z3909" s="9"/>
      <c r="AA3909" s="9"/>
    </row>
    <row r="3910">
      <c r="A3910" s="9"/>
      <c r="B3910" s="9"/>
      <c r="C3910" s="9"/>
      <c r="D3910" s="9"/>
      <c r="E3910" s="9"/>
      <c r="F3910" s="9"/>
      <c r="G3910" s="10"/>
      <c r="H3910" s="9"/>
      <c r="I3910" s="15"/>
      <c r="J3910" s="9"/>
      <c r="K3910" s="9"/>
      <c r="L3910" s="9"/>
      <c r="M3910" s="9"/>
      <c r="N3910" s="9"/>
      <c r="O3910" s="9"/>
      <c r="P3910" s="9"/>
      <c r="Q3910" s="9"/>
      <c r="R3910" s="9"/>
      <c r="S3910" s="9"/>
      <c r="T3910" s="9"/>
      <c r="U3910" s="9"/>
      <c r="V3910" s="9"/>
      <c r="W3910" s="9"/>
      <c r="X3910" s="9"/>
      <c r="Y3910" s="9"/>
      <c r="Z3910" s="9"/>
      <c r="AA3910" s="9"/>
    </row>
    <row r="3911">
      <c r="A3911" s="9"/>
      <c r="B3911" s="9"/>
      <c r="C3911" s="9"/>
      <c r="D3911" s="9"/>
      <c r="E3911" s="9"/>
      <c r="F3911" s="9"/>
      <c r="G3911" s="10"/>
      <c r="H3911" s="9"/>
      <c r="I3911" s="15"/>
      <c r="J3911" s="9"/>
      <c r="K3911" s="9"/>
      <c r="L3911" s="9"/>
      <c r="M3911" s="9"/>
      <c r="N3911" s="9"/>
      <c r="O3911" s="9"/>
      <c r="P3911" s="9"/>
      <c r="Q3911" s="9"/>
      <c r="R3911" s="9"/>
      <c r="S3911" s="9"/>
      <c r="T3911" s="9"/>
      <c r="U3911" s="9"/>
      <c r="V3911" s="9"/>
      <c r="W3911" s="9"/>
      <c r="X3911" s="9"/>
      <c r="Y3911" s="9"/>
      <c r="Z3911" s="9"/>
      <c r="AA3911" s="9"/>
    </row>
    <row r="3912">
      <c r="A3912" s="9"/>
      <c r="B3912" s="9"/>
      <c r="C3912" s="9"/>
      <c r="D3912" s="9"/>
      <c r="E3912" s="9"/>
      <c r="F3912" s="9"/>
      <c r="G3912" s="10"/>
      <c r="H3912" s="9"/>
      <c r="I3912" s="15"/>
      <c r="J3912" s="9"/>
      <c r="K3912" s="9"/>
      <c r="L3912" s="9"/>
      <c r="M3912" s="9"/>
      <c r="N3912" s="9"/>
      <c r="O3912" s="9"/>
      <c r="P3912" s="9"/>
      <c r="Q3912" s="9"/>
      <c r="R3912" s="9"/>
      <c r="S3912" s="9"/>
      <c r="T3912" s="9"/>
      <c r="U3912" s="9"/>
      <c r="V3912" s="9"/>
      <c r="W3912" s="9"/>
      <c r="X3912" s="9"/>
      <c r="Y3912" s="9"/>
      <c r="Z3912" s="9"/>
      <c r="AA3912" s="9"/>
    </row>
    <row r="3913">
      <c r="A3913" s="9"/>
      <c r="B3913" s="9"/>
      <c r="C3913" s="9"/>
      <c r="D3913" s="9"/>
      <c r="E3913" s="9"/>
      <c r="F3913" s="9"/>
      <c r="G3913" s="10"/>
      <c r="H3913" s="9"/>
      <c r="I3913" s="15"/>
      <c r="J3913" s="9"/>
      <c r="K3913" s="9"/>
      <c r="L3913" s="9"/>
      <c r="M3913" s="9"/>
      <c r="N3913" s="9"/>
      <c r="O3913" s="9"/>
      <c r="P3913" s="9"/>
      <c r="Q3913" s="9"/>
      <c r="R3913" s="9"/>
      <c r="S3913" s="9"/>
      <c r="T3913" s="9"/>
      <c r="U3913" s="9"/>
      <c r="V3913" s="9"/>
      <c r="W3913" s="9"/>
      <c r="X3913" s="9"/>
      <c r="Y3913" s="9"/>
      <c r="Z3913" s="9"/>
      <c r="AA3913" s="9"/>
    </row>
    <row r="3914">
      <c r="A3914" s="9"/>
      <c r="B3914" s="9"/>
      <c r="C3914" s="9"/>
      <c r="D3914" s="9"/>
      <c r="E3914" s="9"/>
      <c r="F3914" s="9"/>
      <c r="G3914" s="10"/>
      <c r="H3914" s="9"/>
      <c r="I3914" s="15"/>
      <c r="J3914" s="9"/>
      <c r="K3914" s="9"/>
      <c r="L3914" s="9"/>
      <c r="M3914" s="9"/>
      <c r="N3914" s="9"/>
      <c r="O3914" s="9"/>
      <c r="P3914" s="9"/>
      <c r="Q3914" s="9"/>
      <c r="R3914" s="9"/>
      <c r="S3914" s="9"/>
      <c r="T3914" s="9"/>
      <c r="U3914" s="9"/>
      <c r="V3914" s="9"/>
      <c r="W3914" s="9"/>
      <c r="X3914" s="9"/>
      <c r="Y3914" s="9"/>
      <c r="Z3914" s="9"/>
      <c r="AA3914" s="9"/>
    </row>
    <row r="3915">
      <c r="A3915" s="9"/>
      <c r="B3915" s="9"/>
      <c r="C3915" s="9"/>
      <c r="D3915" s="9"/>
      <c r="E3915" s="9"/>
      <c r="F3915" s="9"/>
      <c r="G3915" s="10"/>
      <c r="H3915" s="9"/>
      <c r="I3915" s="15"/>
      <c r="J3915" s="9"/>
      <c r="K3915" s="9"/>
      <c r="L3915" s="9"/>
      <c r="M3915" s="9"/>
      <c r="N3915" s="9"/>
      <c r="O3915" s="9"/>
      <c r="P3915" s="9"/>
      <c r="Q3915" s="9"/>
      <c r="R3915" s="9"/>
      <c r="S3915" s="9"/>
      <c r="T3915" s="9"/>
      <c r="U3915" s="9"/>
      <c r="V3915" s="9"/>
      <c r="W3915" s="9"/>
      <c r="X3915" s="9"/>
      <c r="Y3915" s="9"/>
      <c r="Z3915" s="9"/>
      <c r="AA3915" s="9"/>
    </row>
    <row r="3916">
      <c r="A3916" s="9"/>
      <c r="B3916" s="9"/>
      <c r="C3916" s="9"/>
      <c r="D3916" s="9"/>
      <c r="E3916" s="9"/>
      <c r="F3916" s="9"/>
      <c r="G3916" s="10"/>
      <c r="H3916" s="9"/>
      <c r="I3916" s="15"/>
      <c r="J3916" s="9"/>
      <c r="K3916" s="9"/>
      <c r="L3916" s="9"/>
      <c r="M3916" s="9"/>
      <c r="N3916" s="9"/>
      <c r="O3916" s="9"/>
      <c r="P3916" s="9"/>
      <c r="Q3916" s="9"/>
      <c r="R3916" s="9"/>
      <c r="S3916" s="9"/>
      <c r="T3916" s="9"/>
      <c r="U3916" s="9"/>
      <c r="V3916" s="9"/>
      <c r="W3916" s="9"/>
      <c r="X3916" s="9"/>
      <c r="Y3916" s="9"/>
      <c r="Z3916" s="9"/>
      <c r="AA3916" s="9"/>
    </row>
    <row r="3917">
      <c r="A3917" s="9"/>
      <c r="B3917" s="9"/>
      <c r="C3917" s="9"/>
      <c r="D3917" s="9"/>
      <c r="E3917" s="9"/>
      <c r="F3917" s="9"/>
      <c r="G3917" s="10"/>
      <c r="H3917" s="9"/>
      <c r="I3917" s="15"/>
      <c r="J3917" s="9"/>
      <c r="K3917" s="9"/>
      <c r="L3917" s="9"/>
      <c r="M3917" s="9"/>
      <c r="N3917" s="9"/>
      <c r="O3917" s="9"/>
      <c r="P3917" s="9"/>
      <c r="Q3917" s="9"/>
      <c r="R3917" s="9"/>
      <c r="S3917" s="9"/>
      <c r="T3917" s="9"/>
      <c r="U3917" s="9"/>
      <c r="V3917" s="9"/>
      <c r="W3917" s="9"/>
      <c r="X3917" s="9"/>
      <c r="Y3917" s="9"/>
      <c r="Z3917" s="9"/>
      <c r="AA3917" s="9"/>
    </row>
    <row r="3918">
      <c r="A3918" s="9"/>
      <c r="B3918" s="9"/>
      <c r="C3918" s="9"/>
      <c r="D3918" s="9"/>
      <c r="E3918" s="9"/>
      <c r="F3918" s="9"/>
      <c r="G3918" s="10"/>
      <c r="H3918" s="9"/>
      <c r="I3918" s="15"/>
      <c r="J3918" s="9"/>
      <c r="K3918" s="9"/>
      <c r="L3918" s="9"/>
      <c r="M3918" s="9"/>
      <c r="N3918" s="9"/>
      <c r="O3918" s="9"/>
      <c r="P3918" s="9"/>
      <c r="Q3918" s="9"/>
      <c r="R3918" s="9"/>
      <c r="S3918" s="9"/>
      <c r="T3918" s="9"/>
      <c r="U3918" s="9"/>
      <c r="V3918" s="9"/>
      <c r="W3918" s="9"/>
      <c r="X3918" s="9"/>
      <c r="Y3918" s="9"/>
      <c r="Z3918" s="9"/>
      <c r="AA3918" s="9"/>
    </row>
    <row r="3919">
      <c r="A3919" s="9"/>
      <c r="B3919" s="9"/>
      <c r="C3919" s="9"/>
      <c r="D3919" s="9"/>
      <c r="E3919" s="9"/>
      <c r="F3919" s="9"/>
      <c r="G3919" s="10"/>
      <c r="H3919" s="9"/>
      <c r="I3919" s="15"/>
      <c r="J3919" s="9"/>
      <c r="K3919" s="9"/>
      <c r="L3919" s="9"/>
      <c r="M3919" s="9"/>
      <c r="N3919" s="9"/>
      <c r="O3919" s="9"/>
      <c r="P3919" s="9"/>
      <c r="Q3919" s="9"/>
      <c r="R3919" s="9"/>
      <c r="S3919" s="9"/>
      <c r="T3919" s="9"/>
      <c r="U3919" s="9"/>
      <c r="V3919" s="9"/>
      <c r="W3919" s="9"/>
      <c r="X3919" s="9"/>
      <c r="Y3919" s="9"/>
      <c r="Z3919" s="9"/>
      <c r="AA3919" s="9"/>
    </row>
    <row r="3920">
      <c r="A3920" s="9"/>
      <c r="B3920" s="9"/>
      <c r="C3920" s="9"/>
      <c r="D3920" s="9"/>
      <c r="E3920" s="9"/>
      <c r="F3920" s="9"/>
      <c r="G3920" s="10"/>
      <c r="H3920" s="9"/>
      <c r="I3920" s="15"/>
      <c r="J3920" s="9"/>
      <c r="K3920" s="9"/>
      <c r="L3920" s="9"/>
      <c r="M3920" s="9"/>
      <c r="N3920" s="9"/>
      <c r="O3920" s="9"/>
      <c r="P3920" s="9"/>
      <c r="Q3920" s="9"/>
      <c r="R3920" s="9"/>
      <c r="S3920" s="9"/>
      <c r="T3920" s="9"/>
      <c r="U3920" s="9"/>
      <c r="V3920" s="9"/>
      <c r="W3920" s="9"/>
      <c r="X3920" s="9"/>
      <c r="Y3920" s="9"/>
      <c r="Z3920" s="9"/>
      <c r="AA3920" s="9"/>
    </row>
    <row r="3921">
      <c r="A3921" s="9"/>
      <c r="B3921" s="9"/>
      <c r="C3921" s="9"/>
      <c r="D3921" s="9"/>
      <c r="E3921" s="9"/>
      <c r="F3921" s="9"/>
      <c r="G3921" s="10"/>
      <c r="H3921" s="9"/>
      <c r="I3921" s="15"/>
      <c r="J3921" s="9"/>
      <c r="K3921" s="9"/>
      <c r="L3921" s="9"/>
      <c r="M3921" s="9"/>
      <c r="N3921" s="9"/>
      <c r="O3921" s="9"/>
      <c r="P3921" s="9"/>
      <c r="Q3921" s="9"/>
      <c r="R3921" s="9"/>
      <c r="S3921" s="9"/>
      <c r="T3921" s="9"/>
      <c r="U3921" s="9"/>
      <c r="V3921" s="9"/>
      <c r="W3921" s="9"/>
      <c r="X3921" s="9"/>
      <c r="Y3921" s="9"/>
      <c r="Z3921" s="9"/>
      <c r="AA3921" s="9"/>
    </row>
    <row r="3922">
      <c r="A3922" s="9"/>
      <c r="B3922" s="9"/>
      <c r="C3922" s="9"/>
      <c r="D3922" s="9"/>
      <c r="E3922" s="9"/>
      <c r="F3922" s="9"/>
      <c r="G3922" s="10"/>
      <c r="H3922" s="9"/>
      <c r="I3922" s="15"/>
      <c r="J3922" s="9"/>
      <c r="K3922" s="9"/>
      <c r="L3922" s="9"/>
      <c r="M3922" s="9"/>
      <c r="N3922" s="9"/>
      <c r="O3922" s="9"/>
      <c r="P3922" s="9"/>
      <c r="Q3922" s="9"/>
      <c r="R3922" s="9"/>
      <c r="S3922" s="9"/>
      <c r="T3922" s="9"/>
      <c r="U3922" s="9"/>
      <c r="V3922" s="9"/>
      <c r="W3922" s="9"/>
      <c r="X3922" s="9"/>
      <c r="Y3922" s="9"/>
      <c r="Z3922" s="9"/>
      <c r="AA3922" s="9"/>
    </row>
    <row r="3923">
      <c r="A3923" s="9"/>
      <c r="B3923" s="9"/>
      <c r="C3923" s="9"/>
      <c r="D3923" s="9"/>
      <c r="E3923" s="9"/>
      <c r="F3923" s="9"/>
      <c r="G3923" s="10"/>
      <c r="H3923" s="9"/>
      <c r="I3923" s="15"/>
      <c r="J3923" s="9"/>
      <c r="K3923" s="9"/>
      <c r="L3923" s="9"/>
      <c r="M3923" s="9"/>
      <c r="N3923" s="9"/>
      <c r="O3923" s="9"/>
      <c r="P3923" s="9"/>
      <c r="Q3923" s="9"/>
      <c r="R3923" s="9"/>
      <c r="S3923" s="9"/>
      <c r="T3923" s="9"/>
      <c r="U3923" s="9"/>
      <c r="V3923" s="9"/>
      <c r="W3923" s="9"/>
      <c r="X3923" s="9"/>
      <c r="Y3923" s="9"/>
      <c r="Z3923" s="9"/>
      <c r="AA3923" s="9"/>
    </row>
    <row r="3924">
      <c r="A3924" s="9"/>
      <c r="B3924" s="9"/>
      <c r="C3924" s="9"/>
      <c r="D3924" s="9"/>
      <c r="E3924" s="9"/>
      <c r="F3924" s="9"/>
      <c r="G3924" s="10"/>
      <c r="H3924" s="9"/>
      <c r="I3924" s="15"/>
      <c r="J3924" s="9"/>
      <c r="K3924" s="9"/>
      <c r="L3924" s="9"/>
      <c r="M3924" s="9"/>
      <c r="N3924" s="9"/>
      <c r="O3924" s="9"/>
      <c r="P3924" s="9"/>
      <c r="Q3924" s="9"/>
      <c r="R3924" s="9"/>
      <c r="S3924" s="9"/>
      <c r="T3924" s="9"/>
      <c r="U3924" s="9"/>
      <c r="V3924" s="9"/>
      <c r="W3924" s="9"/>
      <c r="X3924" s="9"/>
      <c r="Y3924" s="9"/>
      <c r="Z3924" s="9"/>
      <c r="AA3924" s="9"/>
    </row>
    <row r="3925">
      <c r="A3925" s="9"/>
      <c r="B3925" s="9"/>
      <c r="C3925" s="9"/>
      <c r="D3925" s="9"/>
      <c r="E3925" s="9"/>
      <c r="F3925" s="9"/>
      <c r="G3925" s="10"/>
      <c r="H3925" s="9"/>
      <c r="I3925" s="15"/>
      <c r="J3925" s="9"/>
      <c r="K3925" s="9"/>
      <c r="L3925" s="9"/>
      <c r="M3925" s="9"/>
      <c r="N3925" s="9"/>
      <c r="O3925" s="9"/>
      <c r="P3925" s="9"/>
      <c r="Q3925" s="9"/>
      <c r="R3925" s="9"/>
      <c r="S3925" s="9"/>
      <c r="T3925" s="9"/>
      <c r="U3925" s="9"/>
      <c r="V3925" s="9"/>
      <c r="W3925" s="9"/>
      <c r="X3925" s="9"/>
      <c r="Y3925" s="9"/>
      <c r="Z3925" s="9"/>
      <c r="AA3925" s="9"/>
    </row>
    <row r="3926">
      <c r="A3926" s="9"/>
      <c r="B3926" s="9"/>
      <c r="C3926" s="9"/>
      <c r="D3926" s="9"/>
      <c r="E3926" s="9"/>
      <c r="F3926" s="9"/>
      <c r="G3926" s="10"/>
      <c r="H3926" s="9"/>
      <c r="I3926" s="15"/>
      <c r="J3926" s="9"/>
      <c r="K3926" s="9"/>
      <c r="L3926" s="9"/>
      <c r="M3926" s="9"/>
      <c r="N3926" s="9"/>
      <c r="O3926" s="9"/>
      <c r="P3926" s="9"/>
      <c r="Q3926" s="9"/>
      <c r="R3926" s="9"/>
      <c r="S3926" s="9"/>
      <c r="T3926" s="9"/>
      <c r="U3926" s="9"/>
      <c r="V3926" s="9"/>
      <c r="W3926" s="9"/>
      <c r="X3926" s="9"/>
      <c r="Y3926" s="9"/>
      <c r="Z3926" s="9"/>
      <c r="AA3926" s="9"/>
    </row>
    <row r="3927">
      <c r="A3927" s="9"/>
      <c r="B3927" s="9"/>
      <c r="C3927" s="9"/>
      <c r="D3927" s="9"/>
      <c r="E3927" s="9"/>
      <c r="F3927" s="9"/>
      <c r="G3927" s="10"/>
      <c r="H3927" s="9"/>
      <c r="I3927" s="15"/>
      <c r="J3927" s="9"/>
      <c r="K3927" s="9"/>
      <c r="L3927" s="9"/>
      <c r="M3927" s="9"/>
      <c r="N3927" s="9"/>
      <c r="O3927" s="9"/>
      <c r="P3927" s="9"/>
      <c r="Q3927" s="9"/>
      <c r="R3927" s="9"/>
      <c r="S3927" s="9"/>
      <c r="T3927" s="9"/>
      <c r="U3927" s="9"/>
      <c r="V3927" s="9"/>
      <c r="W3927" s="9"/>
      <c r="X3927" s="9"/>
      <c r="Y3927" s="9"/>
      <c r="Z3927" s="9"/>
      <c r="AA3927" s="9"/>
    </row>
    <row r="3928">
      <c r="A3928" s="9"/>
      <c r="B3928" s="9"/>
      <c r="C3928" s="9"/>
      <c r="D3928" s="9"/>
      <c r="E3928" s="9"/>
      <c r="F3928" s="9"/>
      <c r="G3928" s="10"/>
      <c r="H3928" s="9"/>
      <c r="I3928" s="15"/>
      <c r="J3928" s="9"/>
      <c r="K3928" s="9"/>
      <c r="L3928" s="9"/>
      <c r="M3928" s="9"/>
      <c r="N3928" s="9"/>
      <c r="O3928" s="9"/>
      <c r="P3928" s="9"/>
      <c r="Q3928" s="9"/>
      <c r="R3928" s="9"/>
      <c r="S3928" s="9"/>
      <c r="T3928" s="9"/>
      <c r="U3928" s="9"/>
      <c r="V3928" s="9"/>
      <c r="W3928" s="9"/>
      <c r="X3928" s="9"/>
      <c r="Y3928" s="9"/>
      <c r="Z3928" s="9"/>
      <c r="AA3928" s="9"/>
    </row>
    <row r="3929">
      <c r="A3929" s="9"/>
      <c r="B3929" s="9"/>
      <c r="C3929" s="9"/>
      <c r="D3929" s="9"/>
      <c r="E3929" s="9"/>
      <c r="F3929" s="9"/>
      <c r="G3929" s="10"/>
      <c r="H3929" s="9"/>
      <c r="I3929" s="15"/>
      <c r="J3929" s="9"/>
      <c r="K3929" s="9"/>
      <c r="L3929" s="9"/>
      <c r="M3929" s="9"/>
      <c r="N3929" s="9"/>
      <c r="O3929" s="9"/>
      <c r="P3929" s="9"/>
      <c r="Q3929" s="9"/>
      <c r="R3929" s="9"/>
      <c r="S3929" s="9"/>
      <c r="T3929" s="9"/>
      <c r="U3929" s="9"/>
      <c r="V3929" s="9"/>
      <c r="W3929" s="9"/>
      <c r="X3929" s="9"/>
      <c r="Y3929" s="9"/>
      <c r="Z3929" s="9"/>
      <c r="AA3929" s="9"/>
    </row>
    <row r="3930">
      <c r="A3930" s="9"/>
      <c r="B3930" s="9"/>
      <c r="C3930" s="9"/>
      <c r="D3930" s="9"/>
      <c r="E3930" s="9"/>
      <c r="F3930" s="9"/>
      <c r="G3930" s="10"/>
      <c r="H3930" s="9"/>
      <c r="I3930" s="15"/>
      <c r="J3930" s="9"/>
      <c r="K3930" s="9"/>
      <c r="L3930" s="9"/>
      <c r="M3930" s="9"/>
      <c r="N3930" s="9"/>
      <c r="O3930" s="9"/>
      <c r="P3930" s="9"/>
      <c r="Q3930" s="9"/>
      <c r="R3930" s="9"/>
      <c r="S3930" s="9"/>
      <c r="T3930" s="9"/>
      <c r="U3930" s="9"/>
      <c r="V3930" s="9"/>
      <c r="W3930" s="9"/>
      <c r="X3930" s="9"/>
      <c r="Y3930" s="9"/>
      <c r="Z3930" s="9"/>
      <c r="AA3930" s="9"/>
    </row>
    <row r="3931">
      <c r="A3931" s="9"/>
      <c r="B3931" s="9"/>
      <c r="C3931" s="9"/>
      <c r="D3931" s="9"/>
      <c r="E3931" s="9"/>
      <c r="F3931" s="9"/>
      <c r="G3931" s="10"/>
      <c r="H3931" s="9"/>
      <c r="I3931" s="15"/>
      <c r="J3931" s="9"/>
      <c r="K3931" s="9"/>
      <c r="L3931" s="9"/>
      <c r="M3931" s="9"/>
      <c r="N3931" s="9"/>
      <c r="O3931" s="9"/>
      <c r="P3931" s="9"/>
      <c r="Q3931" s="9"/>
      <c r="R3931" s="9"/>
      <c r="S3931" s="9"/>
      <c r="T3931" s="9"/>
      <c r="U3931" s="9"/>
      <c r="V3931" s="9"/>
      <c r="W3931" s="9"/>
      <c r="X3931" s="9"/>
      <c r="Y3931" s="9"/>
      <c r="Z3931" s="9"/>
      <c r="AA3931" s="9"/>
    </row>
    <row r="3932">
      <c r="A3932" s="9"/>
      <c r="B3932" s="9"/>
      <c r="C3932" s="9"/>
      <c r="D3932" s="9"/>
      <c r="E3932" s="9"/>
      <c r="F3932" s="9"/>
      <c r="G3932" s="10"/>
      <c r="H3932" s="9"/>
      <c r="I3932" s="15"/>
      <c r="J3932" s="9"/>
      <c r="K3932" s="9"/>
      <c r="L3932" s="9"/>
      <c r="M3932" s="9"/>
      <c r="N3932" s="9"/>
      <c r="O3932" s="9"/>
      <c r="P3932" s="9"/>
      <c r="Q3932" s="9"/>
      <c r="R3932" s="9"/>
      <c r="S3932" s="9"/>
      <c r="T3932" s="9"/>
      <c r="U3932" s="9"/>
      <c r="V3932" s="9"/>
      <c r="W3932" s="9"/>
      <c r="X3932" s="9"/>
      <c r="Y3932" s="9"/>
      <c r="Z3932" s="9"/>
      <c r="AA3932" s="9"/>
    </row>
    <row r="3933">
      <c r="A3933" s="9"/>
      <c r="B3933" s="9"/>
      <c r="C3933" s="9"/>
      <c r="D3933" s="9"/>
      <c r="E3933" s="9"/>
      <c r="F3933" s="9"/>
      <c r="G3933" s="10"/>
      <c r="H3933" s="9"/>
      <c r="I3933" s="15"/>
      <c r="J3933" s="9"/>
      <c r="K3933" s="9"/>
      <c r="L3933" s="9"/>
      <c r="M3933" s="9"/>
      <c r="N3933" s="9"/>
      <c r="O3933" s="9"/>
      <c r="P3933" s="9"/>
      <c r="Q3933" s="9"/>
      <c r="R3933" s="9"/>
      <c r="S3933" s="9"/>
      <c r="T3933" s="9"/>
      <c r="U3933" s="9"/>
      <c r="V3933" s="9"/>
      <c r="W3933" s="9"/>
      <c r="X3933" s="9"/>
      <c r="Y3933" s="9"/>
      <c r="Z3933" s="9"/>
      <c r="AA3933" s="9"/>
    </row>
    <row r="3934">
      <c r="A3934" s="9"/>
      <c r="B3934" s="9"/>
      <c r="C3934" s="9"/>
      <c r="D3934" s="9"/>
      <c r="E3934" s="9"/>
      <c r="F3934" s="9"/>
      <c r="G3934" s="10"/>
      <c r="H3934" s="9"/>
      <c r="I3934" s="15"/>
      <c r="J3934" s="9"/>
      <c r="K3934" s="9"/>
      <c r="L3934" s="9"/>
      <c r="M3934" s="9"/>
      <c r="N3934" s="9"/>
      <c r="O3934" s="9"/>
      <c r="P3934" s="9"/>
      <c r="Q3934" s="9"/>
      <c r="R3934" s="9"/>
      <c r="S3934" s="9"/>
      <c r="T3934" s="9"/>
      <c r="U3934" s="9"/>
      <c r="V3934" s="9"/>
      <c r="W3934" s="9"/>
      <c r="X3934" s="9"/>
      <c r="Y3934" s="9"/>
      <c r="Z3934" s="9"/>
      <c r="AA3934" s="9"/>
    </row>
    <row r="3935">
      <c r="A3935" s="9"/>
      <c r="B3935" s="9"/>
      <c r="C3935" s="9"/>
      <c r="D3935" s="9"/>
      <c r="E3935" s="9"/>
      <c r="F3935" s="9"/>
      <c r="G3935" s="10"/>
      <c r="H3935" s="9"/>
      <c r="I3935" s="15"/>
      <c r="J3935" s="9"/>
      <c r="K3935" s="9"/>
      <c r="L3935" s="9"/>
      <c r="M3935" s="9"/>
      <c r="N3935" s="9"/>
      <c r="O3935" s="9"/>
      <c r="P3935" s="9"/>
      <c r="Q3935" s="9"/>
      <c r="R3935" s="9"/>
      <c r="S3935" s="9"/>
      <c r="T3935" s="9"/>
      <c r="U3935" s="9"/>
      <c r="V3935" s="9"/>
      <c r="W3935" s="9"/>
      <c r="X3935" s="9"/>
      <c r="Y3935" s="9"/>
      <c r="Z3935" s="9"/>
      <c r="AA3935" s="9"/>
    </row>
    <row r="3936">
      <c r="A3936" s="9"/>
      <c r="B3936" s="9"/>
      <c r="C3936" s="9"/>
      <c r="D3936" s="9"/>
      <c r="E3936" s="9"/>
      <c r="F3936" s="9"/>
      <c r="G3936" s="10"/>
      <c r="H3936" s="9"/>
      <c r="I3936" s="15"/>
      <c r="J3936" s="9"/>
      <c r="K3936" s="9"/>
      <c r="L3936" s="9"/>
      <c r="M3936" s="9"/>
      <c r="N3936" s="9"/>
      <c r="O3936" s="9"/>
      <c r="P3936" s="9"/>
      <c r="Q3936" s="9"/>
      <c r="R3936" s="9"/>
      <c r="S3936" s="9"/>
      <c r="T3936" s="9"/>
      <c r="U3936" s="9"/>
      <c r="V3936" s="9"/>
      <c r="W3936" s="9"/>
      <c r="X3936" s="9"/>
      <c r="Y3936" s="9"/>
      <c r="Z3936" s="9"/>
      <c r="AA3936" s="9"/>
    </row>
    <row r="3937">
      <c r="A3937" s="9"/>
      <c r="B3937" s="9"/>
      <c r="C3937" s="9"/>
      <c r="D3937" s="9"/>
      <c r="E3937" s="9"/>
      <c r="F3937" s="9"/>
      <c r="G3937" s="10"/>
      <c r="H3937" s="9"/>
      <c r="I3937" s="15"/>
      <c r="J3937" s="9"/>
      <c r="K3937" s="9"/>
      <c r="L3937" s="9"/>
      <c r="M3937" s="9"/>
      <c r="N3937" s="9"/>
      <c r="O3937" s="9"/>
      <c r="P3937" s="9"/>
      <c r="Q3937" s="9"/>
      <c r="R3937" s="9"/>
      <c r="S3937" s="9"/>
      <c r="T3937" s="9"/>
      <c r="U3937" s="9"/>
      <c r="V3937" s="9"/>
      <c r="W3937" s="9"/>
      <c r="X3937" s="9"/>
      <c r="Y3937" s="9"/>
      <c r="Z3937" s="9"/>
      <c r="AA3937" s="9"/>
    </row>
    <row r="3938">
      <c r="A3938" s="9"/>
      <c r="B3938" s="9"/>
      <c r="C3938" s="9"/>
      <c r="D3938" s="9"/>
      <c r="E3938" s="9"/>
      <c r="F3938" s="9"/>
      <c r="G3938" s="10"/>
      <c r="H3938" s="9"/>
      <c r="I3938" s="15"/>
      <c r="J3938" s="9"/>
      <c r="K3938" s="9"/>
      <c r="L3938" s="9"/>
      <c r="M3938" s="9"/>
      <c r="N3938" s="9"/>
      <c r="O3938" s="9"/>
      <c r="P3938" s="9"/>
      <c r="Q3938" s="9"/>
      <c r="R3938" s="9"/>
      <c r="S3938" s="9"/>
      <c r="T3938" s="9"/>
      <c r="U3938" s="9"/>
      <c r="V3938" s="9"/>
      <c r="W3938" s="9"/>
      <c r="X3938" s="9"/>
      <c r="Y3938" s="9"/>
      <c r="Z3938" s="9"/>
      <c r="AA3938" s="9"/>
    </row>
    <row r="3939">
      <c r="A3939" s="9"/>
      <c r="B3939" s="9"/>
      <c r="C3939" s="9"/>
      <c r="D3939" s="9"/>
      <c r="E3939" s="9"/>
      <c r="F3939" s="9"/>
      <c r="G3939" s="10"/>
      <c r="H3939" s="9"/>
      <c r="I3939" s="15"/>
      <c r="J3939" s="9"/>
      <c r="K3939" s="9"/>
      <c r="L3939" s="9"/>
      <c r="M3939" s="9"/>
      <c r="N3939" s="9"/>
      <c r="O3939" s="9"/>
      <c r="P3939" s="9"/>
      <c r="Q3939" s="9"/>
      <c r="R3939" s="9"/>
      <c r="S3939" s="9"/>
      <c r="T3939" s="9"/>
      <c r="U3939" s="9"/>
      <c r="V3939" s="9"/>
      <c r="W3939" s="9"/>
      <c r="X3939" s="9"/>
      <c r="Y3939" s="9"/>
      <c r="Z3939" s="9"/>
      <c r="AA3939" s="9"/>
    </row>
    <row r="3940">
      <c r="A3940" s="9"/>
      <c r="B3940" s="9"/>
      <c r="C3940" s="9"/>
      <c r="D3940" s="9"/>
      <c r="E3940" s="9"/>
      <c r="F3940" s="9"/>
      <c r="G3940" s="10"/>
      <c r="H3940" s="9"/>
      <c r="I3940" s="15"/>
      <c r="J3940" s="9"/>
      <c r="K3940" s="9"/>
      <c r="L3940" s="9"/>
      <c r="M3940" s="9"/>
      <c r="N3940" s="9"/>
      <c r="O3940" s="9"/>
      <c r="P3940" s="9"/>
      <c r="Q3940" s="9"/>
      <c r="R3940" s="9"/>
      <c r="S3940" s="9"/>
      <c r="T3940" s="9"/>
      <c r="U3940" s="9"/>
      <c r="V3940" s="9"/>
      <c r="W3940" s="9"/>
      <c r="X3940" s="9"/>
      <c r="Y3940" s="9"/>
      <c r="Z3940" s="9"/>
      <c r="AA3940" s="9"/>
    </row>
    <row r="3941">
      <c r="A3941" s="9"/>
      <c r="B3941" s="9"/>
      <c r="C3941" s="9"/>
      <c r="D3941" s="9"/>
      <c r="E3941" s="9"/>
      <c r="F3941" s="9"/>
      <c r="G3941" s="10"/>
      <c r="H3941" s="9"/>
      <c r="I3941" s="15"/>
      <c r="J3941" s="9"/>
      <c r="K3941" s="9"/>
      <c r="L3941" s="9"/>
      <c r="M3941" s="9"/>
      <c r="N3941" s="9"/>
      <c r="O3941" s="9"/>
      <c r="P3941" s="9"/>
      <c r="Q3941" s="9"/>
      <c r="R3941" s="9"/>
      <c r="S3941" s="9"/>
      <c r="T3941" s="9"/>
      <c r="U3941" s="9"/>
      <c r="V3941" s="9"/>
      <c r="W3941" s="9"/>
      <c r="X3941" s="9"/>
      <c r="Y3941" s="9"/>
      <c r="Z3941" s="9"/>
      <c r="AA3941" s="9"/>
    </row>
    <row r="3942">
      <c r="A3942" s="9"/>
      <c r="B3942" s="9"/>
      <c r="C3942" s="9"/>
      <c r="D3942" s="9"/>
      <c r="E3942" s="9"/>
      <c r="F3942" s="9"/>
      <c r="G3942" s="10"/>
      <c r="H3942" s="9"/>
      <c r="I3942" s="15"/>
      <c r="J3942" s="9"/>
      <c r="K3942" s="9"/>
      <c r="L3942" s="9"/>
      <c r="M3942" s="9"/>
      <c r="N3942" s="9"/>
      <c r="O3942" s="9"/>
      <c r="P3942" s="9"/>
      <c r="Q3942" s="9"/>
      <c r="R3942" s="9"/>
      <c r="S3942" s="9"/>
      <c r="T3942" s="9"/>
      <c r="U3942" s="9"/>
      <c r="V3942" s="9"/>
      <c r="W3942" s="9"/>
      <c r="X3942" s="9"/>
      <c r="Y3942" s="9"/>
      <c r="Z3942" s="9"/>
      <c r="AA3942" s="9"/>
    </row>
    <row r="3943">
      <c r="A3943" s="9"/>
      <c r="B3943" s="9"/>
      <c r="C3943" s="9"/>
      <c r="D3943" s="9"/>
      <c r="E3943" s="9"/>
      <c r="F3943" s="9"/>
      <c r="G3943" s="10"/>
      <c r="H3943" s="9"/>
      <c r="I3943" s="15"/>
      <c r="J3943" s="9"/>
      <c r="K3943" s="9"/>
      <c r="L3943" s="9"/>
      <c r="M3943" s="9"/>
      <c r="N3943" s="9"/>
      <c r="O3943" s="9"/>
      <c r="P3943" s="9"/>
      <c r="Q3943" s="9"/>
      <c r="R3943" s="9"/>
      <c r="S3943" s="9"/>
      <c r="T3943" s="9"/>
      <c r="U3943" s="9"/>
      <c r="V3943" s="9"/>
      <c r="W3943" s="9"/>
      <c r="X3943" s="9"/>
      <c r="Y3943" s="9"/>
      <c r="Z3943" s="9"/>
      <c r="AA3943" s="9"/>
    </row>
    <row r="3944">
      <c r="A3944" s="9"/>
      <c r="B3944" s="9"/>
      <c r="C3944" s="9"/>
      <c r="D3944" s="9"/>
      <c r="E3944" s="9"/>
      <c r="F3944" s="9"/>
      <c r="G3944" s="10"/>
      <c r="H3944" s="9"/>
      <c r="I3944" s="15"/>
      <c r="J3944" s="9"/>
      <c r="K3944" s="9"/>
      <c r="L3944" s="9"/>
      <c r="M3944" s="9"/>
      <c r="N3944" s="9"/>
      <c r="O3944" s="9"/>
      <c r="P3944" s="9"/>
      <c r="Q3944" s="9"/>
      <c r="R3944" s="9"/>
      <c r="S3944" s="9"/>
      <c r="T3944" s="9"/>
      <c r="U3944" s="9"/>
      <c r="V3944" s="9"/>
      <c r="W3944" s="9"/>
      <c r="X3944" s="9"/>
      <c r="Y3944" s="9"/>
      <c r="Z3944" s="9"/>
      <c r="AA3944" s="9"/>
    </row>
    <row r="3945">
      <c r="A3945" s="9"/>
      <c r="B3945" s="9"/>
      <c r="C3945" s="9"/>
      <c r="D3945" s="9"/>
      <c r="E3945" s="9"/>
      <c r="F3945" s="9"/>
      <c r="G3945" s="10"/>
      <c r="H3945" s="9"/>
      <c r="I3945" s="15"/>
      <c r="J3945" s="9"/>
      <c r="K3945" s="9"/>
      <c r="L3945" s="9"/>
      <c r="M3945" s="9"/>
      <c r="N3945" s="9"/>
      <c r="O3945" s="9"/>
      <c r="P3945" s="9"/>
      <c r="Q3945" s="9"/>
      <c r="R3945" s="9"/>
      <c r="S3945" s="9"/>
      <c r="T3945" s="9"/>
      <c r="U3945" s="9"/>
      <c r="V3945" s="9"/>
      <c r="W3945" s="9"/>
      <c r="X3945" s="9"/>
      <c r="Y3945" s="9"/>
      <c r="Z3945" s="9"/>
      <c r="AA3945" s="9"/>
    </row>
    <row r="3946">
      <c r="A3946" s="9"/>
      <c r="B3946" s="9"/>
      <c r="C3946" s="9"/>
      <c r="D3946" s="9"/>
      <c r="E3946" s="9"/>
      <c r="F3946" s="9"/>
      <c r="G3946" s="10"/>
      <c r="H3946" s="9"/>
      <c r="I3946" s="15"/>
      <c r="J3946" s="9"/>
      <c r="K3946" s="9"/>
      <c r="L3946" s="9"/>
      <c r="M3946" s="9"/>
      <c r="N3946" s="9"/>
      <c r="O3946" s="9"/>
      <c r="P3946" s="9"/>
      <c r="Q3946" s="9"/>
      <c r="R3946" s="9"/>
      <c r="S3946" s="9"/>
      <c r="T3946" s="9"/>
      <c r="U3946" s="9"/>
      <c r="V3946" s="9"/>
      <c r="W3946" s="9"/>
      <c r="X3946" s="9"/>
      <c r="Y3946" s="9"/>
      <c r="Z3946" s="9"/>
      <c r="AA3946" s="9"/>
    </row>
    <row r="3947">
      <c r="A3947" s="9"/>
      <c r="B3947" s="9"/>
      <c r="C3947" s="9"/>
      <c r="D3947" s="9"/>
      <c r="E3947" s="9"/>
      <c r="F3947" s="9"/>
      <c r="G3947" s="10"/>
      <c r="H3947" s="9"/>
      <c r="I3947" s="15"/>
      <c r="J3947" s="9"/>
      <c r="K3947" s="9"/>
      <c r="L3947" s="9"/>
      <c r="M3947" s="9"/>
      <c r="N3947" s="9"/>
      <c r="O3947" s="9"/>
      <c r="P3947" s="9"/>
      <c r="Q3947" s="9"/>
      <c r="R3947" s="9"/>
      <c r="S3947" s="9"/>
      <c r="T3947" s="9"/>
      <c r="U3947" s="9"/>
      <c r="V3947" s="9"/>
      <c r="W3947" s="9"/>
      <c r="X3947" s="9"/>
      <c r="Y3947" s="9"/>
      <c r="Z3947" s="9"/>
      <c r="AA3947" s="9"/>
    </row>
    <row r="3948">
      <c r="A3948" s="9"/>
      <c r="B3948" s="9"/>
      <c r="C3948" s="9"/>
      <c r="D3948" s="9"/>
      <c r="E3948" s="9"/>
      <c r="F3948" s="9"/>
      <c r="G3948" s="10"/>
      <c r="H3948" s="9"/>
      <c r="I3948" s="15"/>
      <c r="J3948" s="9"/>
      <c r="K3948" s="9"/>
      <c r="L3948" s="9"/>
      <c r="M3948" s="9"/>
      <c r="N3948" s="9"/>
      <c r="O3948" s="9"/>
      <c r="P3948" s="9"/>
      <c r="Q3948" s="9"/>
      <c r="R3948" s="9"/>
      <c r="S3948" s="9"/>
      <c r="T3948" s="9"/>
      <c r="U3948" s="9"/>
      <c r="V3948" s="9"/>
      <c r="W3948" s="9"/>
      <c r="X3948" s="9"/>
      <c r="Y3948" s="9"/>
      <c r="Z3948" s="9"/>
      <c r="AA3948" s="9"/>
    </row>
    <row r="3949">
      <c r="A3949" s="9"/>
      <c r="B3949" s="9"/>
      <c r="C3949" s="9"/>
      <c r="D3949" s="9"/>
      <c r="E3949" s="9"/>
      <c r="F3949" s="9"/>
      <c r="G3949" s="10"/>
      <c r="H3949" s="9"/>
      <c r="I3949" s="15"/>
      <c r="J3949" s="9"/>
      <c r="K3949" s="9"/>
      <c r="L3949" s="9"/>
      <c r="M3949" s="9"/>
      <c r="N3949" s="9"/>
      <c r="O3949" s="9"/>
      <c r="P3949" s="9"/>
      <c r="Q3949" s="9"/>
      <c r="R3949" s="9"/>
      <c r="S3949" s="9"/>
      <c r="T3949" s="9"/>
      <c r="U3949" s="9"/>
      <c r="V3949" s="9"/>
      <c r="W3949" s="9"/>
      <c r="X3949" s="9"/>
      <c r="Y3949" s="9"/>
      <c r="Z3949" s="9"/>
      <c r="AA3949" s="9"/>
    </row>
    <row r="3950">
      <c r="A3950" s="9"/>
      <c r="B3950" s="9"/>
      <c r="C3950" s="9"/>
      <c r="D3950" s="9"/>
      <c r="E3950" s="9"/>
      <c r="F3950" s="9"/>
      <c r="G3950" s="10"/>
      <c r="H3950" s="9"/>
      <c r="I3950" s="15"/>
      <c r="J3950" s="9"/>
      <c r="K3950" s="9"/>
      <c r="L3950" s="9"/>
      <c r="M3950" s="9"/>
      <c r="N3950" s="9"/>
      <c r="O3950" s="9"/>
      <c r="P3950" s="9"/>
      <c r="Q3950" s="9"/>
      <c r="R3950" s="9"/>
      <c r="S3950" s="9"/>
      <c r="T3950" s="9"/>
      <c r="U3950" s="9"/>
      <c r="V3950" s="9"/>
      <c r="W3950" s="9"/>
      <c r="X3950" s="9"/>
      <c r="Y3950" s="9"/>
      <c r="Z3950" s="9"/>
      <c r="AA3950" s="9"/>
    </row>
    <row r="3951">
      <c r="A3951" s="9"/>
      <c r="B3951" s="9"/>
      <c r="C3951" s="9"/>
      <c r="D3951" s="9"/>
      <c r="E3951" s="9"/>
      <c r="F3951" s="9"/>
      <c r="G3951" s="10"/>
      <c r="H3951" s="9"/>
      <c r="I3951" s="15"/>
      <c r="J3951" s="9"/>
      <c r="K3951" s="9"/>
      <c r="L3951" s="9"/>
      <c r="M3951" s="9"/>
      <c r="N3951" s="9"/>
      <c r="O3951" s="9"/>
      <c r="P3951" s="9"/>
      <c r="Q3951" s="9"/>
      <c r="R3951" s="9"/>
      <c r="S3951" s="9"/>
      <c r="T3951" s="9"/>
      <c r="U3951" s="9"/>
      <c r="V3951" s="9"/>
      <c r="W3951" s="9"/>
      <c r="X3951" s="9"/>
      <c r="Y3951" s="9"/>
      <c r="Z3951" s="9"/>
      <c r="AA3951" s="9"/>
    </row>
    <row r="3952">
      <c r="A3952" s="9"/>
      <c r="B3952" s="9"/>
      <c r="C3952" s="9"/>
      <c r="D3952" s="9"/>
      <c r="E3952" s="9"/>
      <c r="F3952" s="9"/>
      <c r="G3952" s="10"/>
      <c r="H3952" s="9"/>
      <c r="I3952" s="15"/>
      <c r="J3952" s="9"/>
      <c r="K3952" s="9"/>
      <c r="L3952" s="9"/>
      <c r="M3952" s="9"/>
      <c r="N3952" s="9"/>
      <c r="O3952" s="9"/>
      <c r="P3952" s="9"/>
      <c r="Q3952" s="9"/>
      <c r="R3952" s="9"/>
      <c r="S3952" s="9"/>
      <c r="T3952" s="9"/>
      <c r="U3952" s="9"/>
      <c r="V3952" s="9"/>
      <c r="W3952" s="9"/>
      <c r="X3952" s="9"/>
      <c r="Y3952" s="9"/>
      <c r="Z3952" s="9"/>
      <c r="AA3952" s="9"/>
    </row>
    <row r="3953">
      <c r="A3953" s="9"/>
      <c r="B3953" s="9"/>
      <c r="C3953" s="9"/>
      <c r="D3953" s="9"/>
      <c r="E3953" s="9"/>
      <c r="F3953" s="9"/>
      <c r="G3953" s="10"/>
      <c r="H3953" s="9"/>
      <c r="I3953" s="15"/>
      <c r="J3953" s="9"/>
      <c r="K3953" s="9"/>
      <c r="L3953" s="9"/>
      <c r="M3953" s="9"/>
      <c r="N3953" s="9"/>
      <c r="O3953" s="9"/>
      <c r="P3953" s="9"/>
      <c r="Q3953" s="9"/>
      <c r="R3953" s="9"/>
      <c r="S3953" s="9"/>
      <c r="T3953" s="9"/>
      <c r="U3953" s="9"/>
      <c r="V3953" s="9"/>
      <c r="W3953" s="9"/>
      <c r="X3953" s="9"/>
      <c r="Y3953" s="9"/>
      <c r="Z3953" s="9"/>
      <c r="AA3953" s="9"/>
    </row>
    <row r="3954">
      <c r="A3954" s="9"/>
      <c r="B3954" s="9"/>
      <c r="C3954" s="9"/>
      <c r="D3954" s="9"/>
      <c r="E3954" s="9"/>
      <c r="F3954" s="9"/>
      <c r="G3954" s="10"/>
      <c r="H3954" s="9"/>
      <c r="I3954" s="15"/>
      <c r="J3954" s="9"/>
      <c r="K3954" s="9"/>
      <c r="L3954" s="9"/>
      <c r="M3954" s="9"/>
      <c r="N3954" s="9"/>
      <c r="O3954" s="9"/>
      <c r="P3954" s="9"/>
      <c r="Q3954" s="9"/>
      <c r="R3954" s="9"/>
      <c r="S3954" s="9"/>
      <c r="T3954" s="9"/>
      <c r="U3954" s="9"/>
      <c r="V3954" s="9"/>
      <c r="W3954" s="9"/>
      <c r="X3954" s="9"/>
      <c r="Y3954" s="9"/>
      <c r="Z3954" s="9"/>
      <c r="AA3954" s="9"/>
    </row>
    <row r="3955">
      <c r="A3955" s="9"/>
      <c r="B3955" s="9"/>
      <c r="C3955" s="9"/>
      <c r="D3955" s="9"/>
      <c r="E3955" s="9"/>
      <c r="F3955" s="9"/>
      <c r="G3955" s="10"/>
      <c r="H3955" s="9"/>
      <c r="I3955" s="15"/>
      <c r="J3955" s="9"/>
      <c r="K3955" s="9"/>
      <c r="L3955" s="9"/>
      <c r="M3955" s="9"/>
      <c r="N3955" s="9"/>
      <c r="O3955" s="9"/>
      <c r="P3955" s="9"/>
      <c r="Q3955" s="9"/>
      <c r="R3955" s="9"/>
      <c r="S3955" s="9"/>
      <c r="T3955" s="9"/>
      <c r="U3955" s="9"/>
      <c r="V3955" s="9"/>
      <c r="W3955" s="9"/>
      <c r="X3955" s="9"/>
      <c r="Y3955" s="9"/>
      <c r="Z3955" s="9"/>
      <c r="AA3955" s="9"/>
    </row>
    <row r="3956">
      <c r="A3956" s="9"/>
      <c r="B3956" s="9"/>
      <c r="C3956" s="9"/>
      <c r="D3956" s="9"/>
      <c r="E3956" s="9"/>
      <c r="F3956" s="9"/>
      <c r="G3956" s="10"/>
      <c r="H3956" s="9"/>
      <c r="I3956" s="15"/>
      <c r="J3956" s="9"/>
      <c r="K3956" s="9"/>
      <c r="L3956" s="9"/>
      <c r="M3956" s="9"/>
      <c r="N3956" s="9"/>
      <c r="O3956" s="9"/>
      <c r="P3956" s="9"/>
      <c r="Q3956" s="9"/>
      <c r="R3956" s="9"/>
      <c r="S3956" s="9"/>
      <c r="T3956" s="9"/>
      <c r="U3956" s="9"/>
      <c r="V3956" s="9"/>
      <c r="W3956" s="9"/>
      <c r="X3956" s="9"/>
      <c r="Y3956" s="9"/>
      <c r="Z3956" s="9"/>
      <c r="AA3956" s="9"/>
    </row>
    <row r="3957">
      <c r="A3957" s="9"/>
      <c r="B3957" s="9"/>
      <c r="C3957" s="9"/>
      <c r="D3957" s="9"/>
      <c r="E3957" s="9"/>
      <c r="F3957" s="9"/>
      <c r="G3957" s="10"/>
      <c r="H3957" s="9"/>
      <c r="I3957" s="15"/>
      <c r="J3957" s="9"/>
      <c r="K3957" s="9"/>
      <c r="L3957" s="9"/>
      <c r="M3957" s="9"/>
      <c r="N3957" s="9"/>
      <c r="O3957" s="9"/>
      <c r="P3957" s="9"/>
      <c r="Q3957" s="9"/>
      <c r="R3957" s="9"/>
      <c r="S3957" s="9"/>
      <c r="T3957" s="9"/>
      <c r="U3957" s="9"/>
      <c r="V3957" s="9"/>
      <c r="W3957" s="9"/>
      <c r="X3957" s="9"/>
      <c r="Y3957" s="9"/>
      <c r="Z3957" s="9"/>
      <c r="AA3957" s="9"/>
    </row>
    <row r="3958">
      <c r="A3958" s="9"/>
      <c r="B3958" s="9"/>
      <c r="C3958" s="9"/>
      <c r="D3958" s="9"/>
      <c r="E3958" s="9"/>
      <c r="F3958" s="9"/>
      <c r="G3958" s="10"/>
      <c r="H3958" s="9"/>
      <c r="I3958" s="15"/>
      <c r="J3958" s="9"/>
      <c r="K3958" s="9"/>
      <c r="L3958" s="9"/>
      <c r="M3958" s="9"/>
      <c r="N3958" s="9"/>
      <c r="O3958" s="9"/>
      <c r="P3958" s="9"/>
      <c r="Q3958" s="9"/>
      <c r="R3958" s="9"/>
      <c r="S3958" s="9"/>
      <c r="T3958" s="9"/>
      <c r="U3958" s="9"/>
      <c r="V3958" s="9"/>
      <c r="W3958" s="9"/>
      <c r="X3958" s="9"/>
      <c r="Y3958" s="9"/>
      <c r="Z3958" s="9"/>
      <c r="AA3958" s="9"/>
    </row>
    <row r="3959">
      <c r="A3959" s="9"/>
      <c r="B3959" s="9"/>
      <c r="C3959" s="9"/>
      <c r="D3959" s="9"/>
      <c r="E3959" s="9"/>
      <c r="F3959" s="9"/>
      <c r="G3959" s="10"/>
      <c r="H3959" s="9"/>
      <c r="I3959" s="15"/>
      <c r="J3959" s="9"/>
      <c r="K3959" s="9"/>
      <c r="L3959" s="9"/>
      <c r="M3959" s="9"/>
      <c r="N3959" s="9"/>
      <c r="O3959" s="9"/>
      <c r="P3959" s="9"/>
      <c r="Q3959" s="9"/>
      <c r="R3959" s="9"/>
      <c r="S3959" s="9"/>
      <c r="T3959" s="9"/>
      <c r="U3959" s="9"/>
      <c r="V3959" s="9"/>
      <c r="W3959" s="9"/>
      <c r="X3959" s="9"/>
      <c r="Y3959" s="9"/>
      <c r="Z3959" s="9"/>
      <c r="AA3959" s="9"/>
    </row>
    <row r="3960">
      <c r="A3960" s="9"/>
      <c r="B3960" s="9"/>
      <c r="C3960" s="9"/>
      <c r="D3960" s="9"/>
      <c r="E3960" s="9"/>
      <c r="F3960" s="9"/>
      <c r="G3960" s="10"/>
      <c r="H3960" s="9"/>
      <c r="I3960" s="15"/>
      <c r="J3960" s="9"/>
      <c r="K3960" s="9"/>
      <c r="L3960" s="9"/>
      <c r="M3960" s="9"/>
      <c r="N3960" s="9"/>
      <c r="O3960" s="9"/>
      <c r="P3960" s="9"/>
      <c r="Q3960" s="9"/>
      <c r="R3960" s="9"/>
      <c r="S3960" s="9"/>
      <c r="T3960" s="9"/>
      <c r="U3960" s="9"/>
      <c r="V3960" s="9"/>
      <c r="W3960" s="9"/>
      <c r="X3960" s="9"/>
      <c r="Y3960" s="9"/>
      <c r="Z3960" s="9"/>
      <c r="AA3960" s="9"/>
    </row>
    <row r="3961">
      <c r="A3961" s="9"/>
      <c r="B3961" s="9"/>
      <c r="C3961" s="9"/>
      <c r="D3961" s="9"/>
      <c r="E3961" s="9"/>
      <c r="F3961" s="9"/>
      <c r="G3961" s="10"/>
      <c r="H3961" s="9"/>
      <c r="I3961" s="15"/>
      <c r="J3961" s="9"/>
      <c r="K3961" s="9"/>
      <c r="L3961" s="9"/>
      <c r="M3961" s="9"/>
      <c r="N3961" s="9"/>
      <c r="O3961" s="9"/>
      <c r="P3961" s="9"/>
      <c r="Q3961" s="9"/>
      <c r="R3961" s="9"/>
      <c r="S3961" s="9"/>
      <c r="T3961" s="9"/>
      <c r="U3961" s="9"/>
      <c r="V3961" s="9"/>
      <c r="W3961" s="9"/>
      <c r="X3961" s="9"/>
      <c r="Y3961" s="9"/>
      <c r="Z3961" s="9"/>
      <c r="AA3961" s="9"/>
    </row>
    <row r="3962">
      <c r="A3962" s="9"/>
      <c r="B3962" s="9"/>
      <c r="C3962" s="9"/>
      <c r="D3962" s="9"/>
      <c r="E3962" s="9"/>
      <c r="F3962" s="9"/>
      <c r="G3962" s="10"/>
      <c r="H3962" s="9"/>
      <c r="I3962" s="15"/>
      <c r="J3962" s="9"/>
      <c r="K3962" s="9"/>
      <c r="L3962" s="9"/>
      <c r="M3962" s="9"/>
      <c r="N3962" s="9"/>
      <c r="O3962" s="9"/>
      <c r="P3962" s="9"/>
      <c r="Q3962" s="9"/>
      <c r="R3962" s="9"/>
      <c r="S3962" s="9"/>
      <c r="T3962" s="9"/>
      <c r="U3962" s="9"/>
      <c r="V3962" s="9"/>
      <c r="W3962" s="9"/>
      <c r="X3962" s="9"/>
      <c r="Y3962" s="9"/>
      <c r="Z3962" s="9"/>
      <c r="AA3962" s="9"/>
    </row>
    <row r="3963">
      <c r="A3963" s="9"/>
      <c r="B3963" s="9"/>
      <c r="C3963" s="9"/>
      <c r="D3963" s="9"/>
      <c r="E3963" s="9"/>
      <c r="F3963" s="9"/>
      <c r="G3963" s="10"/>
      <c r="H3963" s="9"/>
      <c r="I3963" s="15"/>
      <c r="J3963" s="9"/>
      <c r="K3963" s="9"/>
      <c r="L3963" s="9"/>
      <c r="M3963" s="9"/>
      <c r="N3963" s="9"/>
      <c r="O3963" s="9"/>
      <c r="P3963" s="9"/>
      <c r="Q3963" s="9"/>
      <c r="R3963" s="9"/>
      <c r="S3963" s="9"/>
      <c r="T3963" s="9"/>
      <c r="U3963" s="9"/>
      <c r="V3963" s="9"/>
      <c r="W3963" s="9"/>
      <c r="X3963" s="9"/>
      <c r="Y3963" s="9"/>
      <c r="Z3963" s="9"/>
      <c r="AA3963" s="9"/>
    </row>
    <row r="3964">
      <c r="A3964" s="9"/>
      <c r="B3964" s="9"/>
      <c r="C3964" s="9"/>
      <c r="D3964" s="9"/>
      <c r="E3964" s="9"/>
      <c r="F3964" s="9"/>
      <c r="G3964" s="10"/>
      <c r="H3964" s="9"/>
      <c r="I3964" s="15"/>
      <c r="J3964" s="9"/>
      <c r="K3964" s="9"/>
      <c r="L3964" s="9"/>
      <c r="M3964" s="9"/>
      <c r="N3964" s="9"/>
      <c r="O3964" s="9"/>
      <c r="P3964" s="9"/>
      <c r="Q3964" s="9"/>
      <c r="R3964" s="9"/>
      <c r="S3964" s="9"/>
      <c r="T3964" s="9"/>
      <c r="U3964" s="9"/>
      <c r="V3964" s="9"/>
      <c r="W3964" s="9"/>
      <c r="X3964" s="9"/>
      <c r="Y3964" s="9"/>
      <c r="Z3964" s="9"/>
      <c r="AA3964" s="9"/>
    </row>
    <row r="3965">
      <c r="A3965" s="9"/>
      <c r="B3965" s="9"/>
      <c r="C3965" s="9"/>
      <c r="D3965" s="9"/>
      <c r="E3965" s="9"/>
      <c r="F3965" s="9"/>
      <c r="G3965" s="10"/>
      <c r="H3965" s="9"/>
      <c r="I3965" s="15"/>
      <c r="J3965" s="9"/>
      <c r="K3965" s="9"/>
      <c r="L3965" s="9"/>
      <c r="M3965" s="9"/>
      <c r="N3965" s="9"/>
      <c r="O3965" s="9"/>
      <c r="P3965" s="9"/>
      <c r="Q3965" s="9"/>
      <c r="R3965" s="9"/>
      <c r="S3965" s="9"/>
      <c r="T3965" s="9"/>
      <c r="U3965" s="9"/>
      <c r="V3965" s="9"/>
      <c r="W3965" s="9"/>
      <c r="X3965" s="9"/>
      <c r="Y3965" s="9"/>
      <c r="Z3965" s="9"/>
      <c r="AA3965" s="9"/>
    </row>
    <row r="3966">
      <c r="A3966" s="9"/>
      <c r="B3966" s="9"/>
      <c r="C3966" s="9"/>
      <c r="D3966" s="9"/>
      <c r="E3966" s="9"/>
      <c r="F3966" s="9"/>
      <c r="G3966" s="10"/>
      <c r="H3966" s="9"/>
      <c r="I3966" s="15"/>
      <c r="J3966" s="9"/>
      <c r="K3966" s="9"/>
      <c r="L3966" s="9"/>
      <c r="M3966" s="9"/>
      <c r="N3966" s="9"/>
      <c r="O3966" s="9"/>
      <c r="P3966" s="9"/>
      <c r="Q3966" s="9"/>
      <c r="R3966" s="9"/>
      <c r="S3966" s="9"/>
      <c r="T3966" s="9"/>
      <c r="U3966" s="9"/>
      <c r="V3966" s="9"/>
      <c r="W3966" s="9"/>
      <c r="X3966" s="9"/>
      <c r="Y3966" s="9"/>
      <c r="Z3966" s="9"/>
      <c r="AA3966" s="9"/>
    </row>
    <row r="3967">
      <c r="A3967" s="9"/>
      <c r="B3967" s="9"/>
      <c r="C3967" s="9"/>
      <c r="D3967" s="9"/>
      <c r="E3967" s="9"/>
      <c r="F3967" s="9"/>
      <c r="G3967" s="10"/>
      <c r="H3967" s="9"/>
      <c r="I3967" s="15"/>
      <c r="J3967" s="9"/>
      <c r="K3967" s="9"/>
      <c r="L3967" s="9"/>
      <c r="M3967" s="9"/>
      <c r="N3967" s="9"/>
      <c r="O3967" s="9"/>
      <c r="P3967" s="9"/>
      <c r="Q3967" s="9"/>
      <c r="R3967" s="9"/>
      <c r="S3967" s="9"/>
      <c r="T3967" s="9"/>
      <c r="U3967" s="9"/>
      <c r="V3967" s="9"/>
      <c r="W3967" s="9"/>
      <c r="X3967" s="9"/>
      <c r="Y3967" s="9"/>
      <c r="Z3967" s="9"/>
      <c r="AA3967" s="9"/>
    </row>
    <row r="3968">
      <c r="A3968" s="9"/>
      <c r="B3968" s="9"/>
      <c r="C3968" s="9"/>
      <c r="D3968" s="9"/>
      <c r="E3968" s="9"/>
      <c r="F3968" s="9"/>
      <c r="G3968" s="10"/>
      <c r="H3968" s="9"/>
      <c r="I3968" s="15"/>
      <c r="J3968" s="9"/>
      <c r="K3968" s="9"/>
      <c r="L3968" s="9"/>
      <c r="M3968" s="9"/>
      <c r="N3968" s="9"/>
      <c r="O3968" s="9"/>
      <c r="P3968" s="9"/>
      <c r="Q3968" s="9"/>
      <c r="R3968" s="9"/>
      <c r="S3968" s="9"/>
      <c r="T3968" s="9"/>
      <c r="U3968" s="9"/>
      <c r="V3968" s="9"/>
      <c r="W3968" s="9"/>
      <c r="X3968" s="9"/>
      <c r="Y3968" s="9"/>
      <c r="Z3968" s="9"/>
      <c r="AA3968" s="9"/>
    </row>
    <row r="3969">
      <c r="A3969" s="9"/>
      <c r="B3969" s="9"/>
      <c r="C3969" s="9"/>
      <c r="D3969" s="9"/>
      <c r="E3969" s="9"/>
      <c r="F3969" s="9"/>
      <c r="G3969" s="10"/>
      <c r="H3969" s="9"/>
      <c r="I3969" s="15"/>
      <c r="J3969" s="9"/>
      <c r="K3969" s="9"/>
      <c r="L3969" s="9"/>
      <c r="M3969" s="9"/>
      <c r="N3969" s="9"/>
      <c r="O3969" s="9"/>
      <c r="P3969" s="9"/>
      <c r="Q3969" s="9"/>
      <c r="R3969" s="9"/>
      <c r="S3969" s="9"/>
      <c r="T3969" s="9"/>
      <c r="U3969" s="9"/>
      <c r="V3969" s="9"/>
      <c r="W3969" s="9"/>
      <c r="X3969" s="9"/>
      <c r="Y3969" s="9"/>
      <c r="Z3969" s="9"/>
      <c r="AA3969" s="9"/>
    </row>
    <row r="3970">
      <c r="A3970" s="9"/>
      <c r="B3970" s="9"/>
      <c r="C3970" s="9"/>
      <c r="D3970" s="9"/>
      <c r="E3970" s="9"/>
      <c r="F3970" s="9"/>
      <c r="G3970" s="10"/>
      <c r="H3970" s="9"/>
      <c r="I3970" s="15"/>
      <c r="J3970" s="9"/>
      <c r="K3970" s="9"/>
      <c r="L3970" s="9"/>
      <c r="M3970" s="9"/>
      <c r="N3970" s="9"/>
      <c r="O3970" s="9"/>
      <c r="P3970" s="9"/>
      <c r="Q3970" s="9"/>
      <c r="R3970" s="9"/>
      <c r="S3970" s="9"/>
      <c r="T3970" s="9"/>
      <c r="U3970" s="9"/>
      <c r="V3970" s="9"/>
      <c r="W3970" s="9"/>
      <c r="X3970" s="9"/>
      <c r="Y3970" s="9"/>
      <c r="Z3970" s="9"/>
      <c r="AA3970" s="9"/>
    </row>
    <row r="3971">
      <c r="A3971" s="9"/>
      <c r="B3971" s="9"/>
      <c r="C3971" s="9"/>
      <c r="D3971" s="9"/>
      <c r="E3971" s="9"/>
      <c r="F3971" s="9"/>
      <c r="G3971" s="10"/>
      <c r="H3971" s="9"/>
      <c r="I3971" s="15"/>
      <c r="J3971" s="9"/>
      <c r="K3971" s="9"/>
      <c r="L3971" s="9"/>
      <c r="M3971" s="9"/>
      <c r="N3971" s="9"/>
      <c r="O3971" s="9"/>
      <c r="P3971" s="9"/>
      <c r="Q3971" s="9"/>
      <c r="R3971" s="9"/>
      <c r="S3971" s="9"/>
      <c r="T3971" s="9"/>
      <c r="U3971" s="9"/>
      <c r="V3971" s="9"/>
      <c r="W3971" s="9"/>
      <c r="X3971" s="9"/>
      <c r="Y3971" s="9"/>
      <c r="Z3971" s="9"/>
      <c r="AA3971" s="9"/>
    </row>
    <row r="3972">
      <c r="A3972" s="9"/>
      <c r="B3972" s="9"/>
      <c r="C3972" s="9"/>
      <c r="D3972" s="9"/>
      <c r="E3972" s="9"/>
      <c r="F3972" s="9"/>
      <c r="G3972" s="10"/>
      <c r="H3972" s="9"/>
      <c r="I3972" s="15"/>
      <c r="J3972" s="9"/>
      <c r="K3972" s="9"/>
      <c r="L3972" s="9"/>
      <c r="M3972" s="9"/>
      <c r="N3972" s="9"/>
      <c r="O3972" s="9"/>
      <c r="P3972" s="9"/>
      <c r="Q3972" s="9"/>
      <c r="R3972" s="9"/>
      <c r="S3972" s="9"/>
      <c r="T3972" s="9"/>
      <c r="U3972" s="9"/>
      <c r="V3972" s="9"/>
      <c r="W3972" s="9"/>
      <c r="X3972" s="9"/>
      <c r="Y3972" s="9"/>
      <c r="Z3972" s="9"/>
      <c r="AA3972" s="9"/>
    </row>
    <row r="3973">
      <c r="A3973" s="9"/>
      <c r="B3973" s="9"/>
      <c r="C3973" s="9"/>
      <c r="D3973" s="9"/>
      <c r="E3973" s="9"/>
      <c r="F3973" s="9"/>
      <c r="G3973" s="10"/>
      <c r="H3973" s="9"/>
      <c r="I3973" s="15"/>
      <c r="J3973" s="9"/>
      <c r="K3973" s="9"/>
      <c r="L3973" s="9"/>
      <c r="M3973" s="9"/>
      <c r="N3973" s="9"/>
      <c r="O3973" s="9"/>
      <c r="P3973" s="9"/>
      <c r="Q3973" s="9"/>
      <c r="R3973" s="9"/>
      <c r="S3973" s="9"/>
      <c r="T3973" s="9"/>
      <c r="U3973" s="9"/>
      <c r="V3973" s="9"/>
      <c r="W3973" s="9"/>
      <c r="X3973" s="9"/>
      <c r="Y3973" s="9"/>
      <c r="Z3973" s="9"/>
      <c r="AA3973" s="9"/>
    </row>
    <row r="3974">
      <c r="A3974" s="9"/>
      <c r="B3974" s="9"/>
      <c r="C3974" s="9"/>
      <c r="D3974" s="9"/>
      <c r="E3974" s="9"/>
      <c r="F3974" s="9"/>
      <c r="G3974" s="10"/>
      <c r="H3974" s="9"/>
      <c r="I3974" s="15"/>
      <c r="J3974" s="9"/>
      <c r="K3974" s="9"/>
      <c r="L3974" s="9"/>
      <c r="M3974" s="9"/>
      <c r="N3974" s="9"/>
      <c r="O3974" s="9"/>
      <c r="P3974" s="9"/>
      <c r="Q3974" s="9"/>
      <c r="R3974" s="9"/>
      <c r="S3974" s="9"/>
      <c r="T3974" s="9"/>
      <c r="U3974" s="9"/>
      <c r="V3974" s="9"/>
      <c r="W3974" s="9"/>
      <c r="X3974" s="9"/>
      <c r="Y3974" s="9"/>
      <c r="Z3974" s="9"/>
      <c r="AA3974" s="9"/>
    </row>
    <row r="3975">
      <c r="A3975" s="9"/>
      <c r="B3975" s="9"/>
      <c r="C3975" s="9"/>
      <c r="D3975" s="9"/>
      <c r="E3975" s="9"/>
      <c r="F3975" s="9"/>
      <c r="G3975" s="10"/>
      <c r="H3975" s="9"/>
      <c r="I3975" s="15"/>
      <c r="J3975" s="9"/>
      <c r="K3975" s="9"/>
      <c r="L3975" s="9"/>
      <c r="M3975" s="9"/>
      <c r="N3975" s="9"/>
      <c r="O3975" s="9"/>
      <c r="P3975" s="9"/>
      <c r="Q3975" s="9"/>
      <c r="R3975" s="9"/>
      <c r="S3975" s="9"/>
      <c r="T3975" s="9"/>
      <c r="U3975" s="9"/>
      <c r="V3975" s="9"/>
      <c r="W3975" s="9"/>
      <c r="X3975" s="9"/>
      <c r="Y3975" s="9"/>
      <c r="Z3975" s="9"/>
      <c r="AA3975" s="9"/>
    </row>
    <row r="3976">
      <c r="A3976" s="9"/>
      <c r="B3976" s="9"/>
      <c r="C3976" s="9"/>
      <c r="D3976" s="9"/>
      <c r="E3976" s="9"/>
      <c r="F3976" s="9"/>
      <c r="G3976" s="10"/>
      <c r="H3976" s="9"/>
      <c r="I3976" s="15"/>
      <c r="J3976" s="9"/>
      <c r="K3976" s="9"/>
      <c r="L3976" s="9"/>
      <c r="M3976" s="9"/>
      <c r="N3976" s="9"/>
      <c r="O3976" s="9"/>
      <c r="P3976" s="9"/>
      <c r="Q3976" s="9"/>
      <c r="R3976" s="9"/>
      <c r="S3976" s="9"/>
      <c r="T3976" s="9"/>
      <c r="U3976" s="9"/>
      <c r="V3976" s="9"/>
      <c r="W3976" s="9"/>
      <c r="X3976" s="9"/>
      <c r="Y3976" s="9"/>
      <c r="Z3976" s="9"/>
      <c r="AA3976" s="9"/>
    </row>
    <row r="3977">
      <c r="A3977" s="9"/>
      <c r="B3977" s="9"/>
      <c r="C3977" s="9"/>
      <c r="D3977" s="9"/>
      <c r="E3977" s="9"/>
      <c r="F3977" s="9"/>
      <c r="G3977" s="10"/>
      <c r="H3977" s="9"/>
      <c r="I3977" s="15"/>
      <c r="J3977" s="9"/>
      <c r="K3977" s="9"/>
      <c r="L3977" s="9"/>
      <c r="M3977" s="9"/>
      <c r="N3977" s="9"/>
      <c r="O3977" s="9"/>
      <c r="P3977" s="9"/>
      <c r="Q3977" s="9"/>
      <c r="R3977" s="9"/>
      <c r="S3977" s="9"/>
      <c r="T3977" s="9"/>
      <c r="U3977" s="9"/>
      <c r="V3977" s="9"/>
      <c r="W3977" s="9"/>
      <c r="X3977" s="9"/>
      <c r="Y3977" s="9"/>
      <c r="Z3977" s="9"/>
      <c r="AA3977" s="9"/>
    </row>
    <row r="3978">
      <c r="A3978" s="9"/>
      <c r="B3978" s="9"/>
      <c r="C3978" s="9"/>
      <c r="D3978" s="9"/>
      <c r="E3978" s="9"/>
      <c r="F3978" s="9"/>
      <c r="G3978" s="10"/>
      <c r="H3978" s="9"/>
      <c r="I3978" s="15"/>
      <c r="J3978" s="9"/>
      <c r="K3978" s="9"/>
      <c r="L3978" s="9"/>
      <c r="M3978" s="9"/>
      <c r="N3978" s="9"/>
      <c r="O3978" s="9"/>
      <c r="P3978" s="9"/>
      <c r="Q3978" s="9"/>
      <c r="R3978" s="9"/>
      <c r="S3978" s="9"/>
      <c r="T3978" s="9"/>
      <c r="U3978" s="9"/>
      <c r="V3978" s="9"/>
      <c r="W3978" s="9"/>
      <c r="X3978" s="9"/>
      <c r="Y3978" s="9"/>
      <c r="Z3978" s="9"/>
      <c r="AA3978" s="9"/>
    </row>
    <row r="3979">
      <c r="A3979" s="9"/>
      <c r="B3979" s="9"/>
      <c r="C3979" s="9"/>
      <c r="D3979" s="9"/>
      <c r="E3979" s="9"/>
      <c r="F3979" s="9"/>
      <c r="G3979" s="10"/>
      <c r="H3979" s="9"/>
      <c r="I3979" s="15"/>
      <c r="J3979" s="9"/>
      <c r="K3979" s="9"/>
      <c r="L3979" s="9"/>
      <c r="M3979" s="9"/>
      <c r="N3979" s="9"/>
      <c r="O3979" s="9"/>
      <c r="P3979" s="9"/>
      <c r="Q3979" s="9"/>
      <c r="R3979" s="9"/>
      <c r="S3979" s="9"/>
      <c r="T3979" s="9"/>
      <c r="U3979" s="9"/>
      <c r="V3979" s="9"/>
      <c r="W3979" s="9"/>
      <c r="X3979" s="9"/>
      <c r="Y3979" s="9"/>
      <c r="Z3979" s="9"/>
      <c r="AA3979" s="9"/>
    </row>
    <row r="3980">
      <c r="A3980" s="9"/>
      <c r="B3980" s="9"/>
      <c r="C3980" s="9"/>
      <c r="D3980" s="9"/>
      <c r="E3980" s="9"/>
      <c r="F3980" s="9"/>
      <c r="G3980" s="10"/>
      <c r="H3980" s="9"/>
      <c r="I3980" s="15"/>
      <c r="J3980" s="9"/>
      <c r="K3980" s="9"/>
      <c r="L3980" s="9"/>
      <c r="M3980" s="9"/>
      <c r="N3980" s="9"/>
      <c r="O3980" s="9"/>
      <c r="P3980" s="9"/>
      <c r="Q3980" s="9"/>
      <c r="R3980" s="9"/>
      <c r="S3980" s="9"/>
      <c r="T3980" s="9"/>
      <c r="U3980" s="9"/>
      <c r="V3980" s="9"/>
      <c r="W3980" s="9"/>
      <c r="X3980" s="9"/>
      <c r="Y3980" s="9"/>
      <c r="Z3980" s="9"/>
      <c r="AA3980" s="9"/>
    </row>
    <row r="3981">
      <c r="A3981" s="9"/>
      <c r="B3981" s="9"/>
      <c r="C3981" s="9"/>
      <c r="D3981" s="9"/>
      <c r="E3981" s="9"/>
      <c r="F3981" s="9"/>
      <c r="G3981" s="10"/>
      <c r="H3981" s="9"/>
      <c r="I3981" s="15"/>
      <c r="J3981" s="9"/>
      <c r="K3981" s="9"/>
      <c r="L3981" s="9"/>
      <c r="M3981" s="9"/>
      <c r="N3981" s="9"/>
      <c r="O3981" s="9"/>
      <c r="P3981" s="9"/>
      <c r="Q3981" s="9"/>
      <c r="R3981" s="9"/>
      <c r="S3981" s="9"/>
      <c r="T3981" s="9"/>
      <c r="U3981" s="9"/>
      <c r="V3981" s="9"/>
      <c r="W3981" s="9"/>
      <c r="X3981" s="9"/>
      <c r="Y3981" s="9"/>
      <c r="Z3981" s="9"/>
      <c r="AA3981" s="9"/>
    </row>
    <row r="3982">
      <c r="A3982" s="9"/>
      <c r="B3982" s="9"/>
      <c r="C3982" s="9"/>
      <c r="D3982" s="9"/>
      <c r="E3982" s="9"/>
      <c r="F3982" s="9"/>
      <c r="G3982" s="10"/>
      <c r="H3982" s="9"/>
      <c r="I3982" s="15"/>
      <c r="J3982" s="9"/>
      <c r="K3982" s="9"/>
      <c r="L3982" s="9"/>
      <c r="M3982" s="9"/>
      <c r="N3982" s="9"/>
      <c r="O3982" s="9"/>
      <c r="P3982" s="9"/>
      <c r="Q3982" s="9"/>
      <c r="R3982" s="9"/>
      <c r="S3982" s="9"/>
      <c r="T3982" s="9"/>
      <c r="U3982" s="9"/>
      <c r="V3982" s="9"/>
      <c r="W3982" s="9"/>
      <c r="X3982" s="9"/>
      <c r="Y3982" s="9"/>
      <c r="Z3982" s="9"/>
      <c r="AA3982" s="9"/>
    </row>
    <row r="3983">
      <c r="A3983" s="9"/>
      <c r="B3983" s="9"/>
      <c r="C3983" s="9"/>
      <c r="D3983" s="9"/>
      <c r="E3983" s="9"/>
      <c r="F3983" s="9"/>
      <c r="G3983" s="10"/>
      <c r="H3983" s="9"/>
      <c r="I3983" s="15"/>
      <c r="J3983" s="9"/>
      <c r="K3983" s="9"/>
      <c r="L3983" s="9"/>
      <c r="M3983" s="9"/>
      <c r="N3983" s="9"/>
      <c r="O3983" s="9"/>
      <c r="P3983" s="9"/>
      <c r="Q3983" s="9"/>
      <c r="R3983" s="9"/>
      <c r="S3983" s="9"/>
      <c r="T3983" s="9"/>
      <c r="U3983" s="9"/>
      <c r="V3983" s="9"/>
      <c r="W3983" s="9"/>
      <c r="X3983" s="9"/>
      <c r="Y3983" s="9"/>
      <c r="Z3983" s="9"/>
      <c r="AA3983" s="9"/>
    </row>
    <row r="3984">
      <c r="A3984" s="9"/>
      <c r="B3984" s="9"/>
      <c r="C3984" s="9"/>
      <c r="D3984" s="9"/>
      <c r="E3984" s="9"/>
      <c r="F3984" s="9"/>
      <c r="G3984" s="10"/>
      <c r="H3984" s="9"/>
      <c r="I3984" s="15"/>
      <c r="J3984" s="9"/>
      <c r="K3984" s="9"/>
      <c r="L3984" s="9"/>
      <c r="M3984" s="9"/>
      <c r="N3984" s="9"/>
      <c r="O3984" s="9"/>
      <c r="P3984" s="9"/>
      <c r="Q3984" s="9"/>
      <c r="R3984" s="9"/>
      <c r="S3984" s="9"/>
      <c r="T3984" s="9"/>
      <c r="U3984" s="9"/>
      <c r="V3984" s="9"/>
      <c r="W3984" s="9"/>
      <c r="X3984" s="9"/>
      <c r="Y3984" s="9"/>
      <c r="Z3984" s="9"/>
      <c r="AA3984" s="9"/>
    </row>
    <row r="3985">
      <c r="A3985" s="9"/>
      <c r="B3985" s="9"/>
      <c r="C3985" s="9"/>
      <c r="D3985" s="9"/>
      <c r="E3985" s="9"/>
      <c r="F3985" s="9"/>
      <c r="G3985" s="10"/>
      <c r="H3985" s="9"/>
      <c r="I3985" s="15"/>
      <c r="J3985" s="9"/>
      <c r="K3985" s="9"/>
      <c r="L3985" s="9"/>
      <c r="M3985" s="9"/>
      <c r="N3985" s="9"/>
      <c r="O3985" s="9"/>
      <c r="P3985" s="9"/>
      <c r="Q3985" s="9"/>
      <c r="R3985" s="9"/>
      <c r="S3985" s="9"/>
      <c r="T3985" s="9"/>
      <c r="U3985" s="9"/>
      <c r="V3985" s="9"/>
      <c r="W3985" s="9"/>
      <c r="X3985" s="9"/>
      <c r="Y3985" s="9"/>
      <c r="Z3985" s="9"/>
      <c r="AA3985" s="9"/>
    </row>
    <row r="3986">
      <c r="A3986" s="9"/>
      <c r="B3986" s="9"/>
      <c r="C3986" s="9"/>
      <c r="D3986" s="9"/>
      <c r="E3986" s="9"/>
      <c r="F3986" s="9"/>
      <c r="G3986" s="10"/>
      <c r="H3986" s="9"/>
      <c r="I3986" s="15"/>
      <c r="J3986" s="9"/>
      <c r="K3986" s="9"/>
      <c r="L3986" s="9"/>
      <c r="M3986" s="9"/>
      <c r="N3986" s="9"/>
      <c r="O3986" s="9"/>
      <c r="P3986" s="9"/>
      <c r="Q3986" s="9"/>
      <c r="R3986" s="9"/>
      <c r="S3986" s="9"/>
      <c r="T3986" s="9"/>
      <c r="U3986" s="9"/>
      <c r="V3986" s="9"/>
      <c r="W3986" s="9"/>
      <c r="X3986" s="9"/>
      <c r="Y3986" s="9"/>
      <c r="Z3986" s="9"/>
      <c r="AA3986" s="9"/>
    </row>
    <row r="3987">
      <c r="A3987" s="9"/>
      <c r="B3987" s="9"/>
      <c r="C3987" s="9"/>
      <c r="D3987" s="9"/>
      <c r="E3987" s="9"/>
      <c r="F3987" s="9"/>
      <c r="G3987" s="10"/>
      <c r="H3987" s="9"/>
      <c r="I3987" s="15"/>
      <c r="J3987" s="9"/>
      <c r="K3987" s="9"/>
      <c r="L3987" s="9"/>
      <c r="M3987" s="9"/>
      <c r="N3987" s="9"/>
      <c r="O3987" s="9"/>
      <c r="P3987" s="9"/>
      <c r="Q3987" s="9"/>
      <c r="R3987" s="9"/>
      <c r="S3987" s="9"/>
      <c r="T3987" s="9"/>
      <c r="U3987" s="9"/>
      <c r="V3987" s="9"/>
      <c r="W3987" s="9"/>
      <c r="X3987" s="9"/>
      <c r="Y3987" s="9"/>
      <c r="Z3987" s="9"/>
      <c r="AA3987" s="9"/>
    </row>
    <row r="3988">
      <c r="A3988" s="9"/>
      <c r="B3988" s="9"/>
      <c r="C3988" s="9"/>
      <c r="D3988" s="9"/>
      <c r="E3988" s="9"/>
      <c r="F3988" s="9"/>
      <c r="G3988" s="10"/>
      <c r="H3988" s="9"/>
      <c r="I3988" s="15"/>
      <c r="J3988" s="9"/>
      <c r="K3988" s="9"/>
      <c r="L3988" s="9"/>
      <c r="M3988" s="9"/>
      <c r="N3988" s="9"/>
      <c r="O3988" s="9"/>
      <c r="P3988" s="9"/>
      <c r="Q3988" s="9"/>
      <c r="R3988" s="9"/>
      <c r="S3988" s="9"/>
      <c r="T3988" s="9"/>
      <c r="U3988" s="9"/>
      <c r="V3988" s="9"/>
      <c r="W3988" s="9"/>
      <c r="X3988" s="9"/>
      <c r="Y3988" s="9"/>
      <c r="Z3988" s="9"/>
      <c r="AA3988" s="9"/>
    </row>
    <row r="3989">
      <c r="A3989" s="9"/>
      <c r="B3989" s="9"/>
      <c r="C3989" s="9"/>
      <c r="D3989" s="9"/>
      <c r="E3989" s="9"/>
      <c r="F3989" s="9"/>
      <c r="G3989" s="10"/>
      <c r="H3989" s="9"/>
      <c r="I3989" s="15"/>
      <c r="J3989" s="9"/>
      <c r="K3989" s="9"/>
      <c r="L3989" s="9"/>
      <c r="M3989" s="9"/>
      <c r="N3989" s="9"/>
      <c r="O3989" s="9"/>
      <c r="P3989" s="9"/>
      <c r="Q3989" s="9"/>
      <c r="R3989" s="9"/>
      <c r="S3989" s="9"/>
      <c r="T3989" s="9"/>
      <c r="U3989" s="9"/>
      <c r="V3989" s="9"/>
      <c r="W3989" s="9"/>
      <c r="X3989" s="9"/>
      <c r="Y3989" s="9"/>
      <c r="Z3989" s="9"/>
      <c r="AA3989" s="9"/>
    </row>
    <row r="3990">
      <c r="A3990" s="9"/>
      <c r="B3990" s="9"/>
      <c r="C3990" s="9"/>
      <c r="D3990" s="9"/>
      <c r="E3990" s="9"/>
      <c r="F3990" s="9"/>
      <c r="G3990" s="10"/>
      <c r="H3990" s="9"/>
      <c r="I3990" s="15"/>
      <c r="J3990" s="9"/>
      <c r="K3990" s="9"/>
      <c r="L3990" s="9"/>
      <c r="M3990" s="9"/>
      <c r="N3990" s="9"/>
      <c r="O3990" s="9"/>
      <c r="P3990" s="9"/>
      <c r="Q3990" s="9"/>
      <c r="R3990" s="9"/>
      <c r="S3990" s="9"/>
      <c r="T3990" s="9"/>
      <c r="U3990" s="9"/>
      <c r="V3990" s="9"/>
      <c r="W3990" s="9"/>
      <c r="X3990" s="9"/>
      <c r="Y3990" s="9"/>
      <c r="Z3990" s="9"/>
      <c r="AA3990" s="9"/>
    </row>
    <row r="3991">
      <c r="A3991" s="9"/>
      <c r="B3991" s="9"/>
      <c r="C3991" s="9"/>
      <c r="D3991" s="9"/>
      <c r="E3991" s="9"/>
      <c r="F3991" s="9"/>
      <c r="G3991" s="10"/>
      <c r="H3991" s="9"/>
      <c r="I3991" s="15"/>
      <c r="J3991" s="9"/>
      <c r="K3991" s="9"/>
      <c r="L3991" s="9"/>
      <c r="M3991" s="9"/>
      <c r="N3991" s="9"/>
      <c r="O3991" s="9"/>
      <c r="P3991" s="9"/>
      <c r="Q3991" s="9"/>
      <c r="R3991" s="9"/>
      <c r="S3991" s="9"/>
      <c r="T3991" s="9"/>
      <c r="U3991" s="9"/>
      <c r="V3991" s="9"/>
      <c r="W3991" s="9"/>
      <c r="X3991" s="9"/>
      <c r="Y3991" s="9"/>
      <c r="Z3991" s="9"/>
      <c r="AA3991" s="9"/>
    </row>
    <row r="3992">
      <c r="A3992" s="9"/>
      <c r="B3992" s="9"/>
      <c r="C3992" s="9"/>
      <c r="D3992" s="9"/>
      <c r="E3992" s="9"/>
      <c r="F3992" s="9"/>
      <c r="G3992" s="10"/>
      <c r="H3992" s="9"/>
      <c r="I3992" s="15"/>
      <c r="J3992" s="9"/>
      <c r="K3992" s="9"/>
      <c r="L3992" s="9"/>
      <c r="M3992" s="9"/>
      <c r="N3992" s="9"/>
      <c r="O3992" s="9"/>
      <c r="P3992" s="9"/>
      <c r="Q3992" s="9"/>
      <c r="R3992" s="9"/>
      <c r="S3992" s="9"/>
      <c r="T3992" s="9"/>
      <c r="U3992" s="9"/>
      <c r="V3992" s="9"/>
      <c r="W3992" s="9"/>
      <c r="X3992" s="9"/>
      <c r="Y3992" s="9"/>
      <c r="Z3992" s="9"/>
      <c r="AA3992" s="9"/>
    </row>
    <row r="3993">
      <c r="A3993" s="9"/>
      <c r="B3993" s="9"/>
      <c r="C3993" s="9"/>
      <c r="D3993" s="9"/>
      <c r="E3993" s="9"/>
      <c r="F3993" s="9"/>
      <c r="G3993" s="10"/>
      <c r="H3993" s="9"/>
      <c r="I3993" s="15"/>
      <c r="J3993" s="9"/>
      <c r="K3993" s="9"/>
      <c r="L3993" s="9"/>
      <c r="M3993" s="9"/>
      <c r="N3993" s="9"/>
      <c r="O3993" s="9"/>
      <c r="P3993" s="9"/>
      <c r="Q3993" s="9"/>
      <c r="R3993" s="9"/>
      <c r="S3993" s="9"/>
      <c r="T3993" s="9"/>
      <c r="U3993" s="9"/>
      <c r="V3993" s="9"/>
      <c r="W3993" s="9"/>
      <c r="X3993" s="9"/>
      <c r="Y3993" s="9"/>
      <c r="Z3993" s="9"/>
      <c r="AA3993" s="9"/>
    </row>
    <row r="3994">
      <c r="A3994" s="9"/>
      <c r="B3994" s="9"/>
      <c r="C3994" s="9"/>
      <c r="D3994" s="9"/>
      <c r="E3994" s="9"/>
      <c r="F3994" s="9"/>
      <c r="G3994" s="10"/>
      <c r="H3994" s="9"/>
      <c r="I3994" s="15"/>
      <c r="J3994" s="9"/>
      <c r="K3994" s="9"/>
      <c r="L3994" s="9"/>
      <c r="M3994" s="9"/>
      <c r="N3994" s="9"/>
      <c r="O3994" s="9"/>
      <c r="P3994" s="9"/>
      <c r="Q3994" s="9"/>
      <c r="R3994" s="9"/>
      <c r="S3994" s="9"/>
      <c r="T3994" s="9"/>
      <c r="U3994" s="9"/>
      <c r="V3994" s="9"/>
      <c r="W3994" s="9"/>
      <c r="X3994" s="9"/>
      <c r="Y3994" s="9"/>
      <c r="Z3994" s="9"/>
      <c r="AA3994" s="9"/>
    </row>
    <row r="3995">
      <c r="A3995" s="9"/>
      <c r="B3995" s="9"/>
      <c r="C3995" s="9"/>
      <c r="D3995" s="9"/>
      <c r="E3995" s="9"/>
      <c r="F3995" s="9"/>
      <c r="G3995" s="10"/>
      <c r="H3995" s="9"/>
      <c r="I3995" s="15"/>
      <c r="J3995" s="9"/>
      <c r="K3995" s="9"/>
      <c r="L3995" s="9"/>
      <c r="M3995" s="9"/>
      <c r="N3995" s="9"/>
      <c r="O3995" s="9"/>
      <c r="P3995" s="9"/>
      <c r="Q3995" s="9"/>
      <c r="R3995" s="9"/>
      <c r="S3995" s="9"/>
      <c r="T3995" s="9"/>
      <c r="U3995" s="9"/>
      <c r="V3995" s="9"/>
      <c r="W3995" s="9"/>
      <c r="X3995" s="9"/>
      <c r="Y3995" s="9"/>
      <c r="Z3995" s="9"/>
      <c r="AA3995" s="9"/>
    </row>
    <row r="3996">
      <c r="A3996" s="9"/>
      <c r="B3996" s="9"/>
      <c r="C3996" s="9"/>
      <c r="D3996" s="9"/>
      <c r="E3996" s="9"/>
      <c r="F3996" s="9"/>
      <c r="G3996" s="10"/>
      <c r="H3996" s="9"/>
      <c r="I3996" s="15"/>
      <c r="J3996" s="9"/>
      <c r="K3996" s="9"/>
      <c r="L3996" s="9"/>
      <c r="M3996" s="9"/>
      <c r="N3996" s="9"/>
      <c r="O3996" s="9"/>
      <c r="P3996" s="9"/>
      <c r="Q3996" s="9"/>
      <c r="R3996" s="9"/>
      <c r="S3996" s="9"/>
      <c r="T3996" s="9"/>
      <c r="U3996" s="9"/>
      <c r="V3996" s="9"/>
      <c r="W3996" s="9"/>
      <c r="X3996" s="9"/>
      <c r="Y3996" s="9"/>
      <c r="Z3996" s="9"/>
      <c r="AA3996" s="9"/>
    </row>
    <row r="3997">
      <c r="A3997" s="9"/>
      <c r="B3997" s="9"/>
      <c r="C3997" s="9"/>
      <c r="D3997" s="9"/>
      <c r="E3997" s="9"/>
      <c r="F3997" s="9"/>
      <c r="G3997" s="10"/>
      <c r="H3997" s="9"/>
      <c r="I3997" s="15"/>
      <c r="J3997" s="9"/>
      <c r="K3997" s="9"/>
      <c r="L3997" s="9"/>
      <c r="M3997" s="9"/>
      <c r="N3997" s="9"/>
      <c r="O3997" s="9"/>
      <c r="P3997" s="9"/>
      <c r="Q3997" s="9"/>
      <c r="R3997" s="9"/>
      <c r="S3997" s="9"/>
      <c r="T3997" s="9"/>
      <c r="U3997" s="9"/>
      <c r="V3997" s="9"/>
      <c r="W3997" s="9"/>
      <c r="X3997" s="9"/>
      <c r="Y3997" s="9"/>
      <c r="Z3997" s="9"/>
      <c r="AA3997" s="9"/>
    </row>
    <row r="3998">
      <c r="A3998" s="9"/>
      <c r="B3998" s="9"/>
      <c r="C3998" s="9"/>
      <c r="D3998" s="9"/>
      <c r="E3998" s="9"/>
      <c r="F3998" s="9"/>
      <c r="G3998" s="10"/>
      <c r="H3998" s="9"/>
      <c r="I3998" s="15"/>
      <c r="J3998" s="9"/>
      <c r="K3998" s="9"/>
      <c r="L3998" s="9"/>
      <c r="M3998" s="9"/>
      <c r="N3998" s="9"/>
      <c r="O3998" s="9"/>
      <c r="P3998" s="9"/>
      <c r="Q3998" s="9"/>
      <c r="R3998" s="9"/>
      <c r="S3998" s="9"/>
      <c r="T3998" s="9"/>
      <c r="U3998" s="9"/>
      <c r="V3998" s="9"/>
      <c r="W3998" s="9"/>
      <c r="X3998" s="9"/>
      <c r="Y3998" s="9"/>
      <c r="Z3998" s="9"/>
      <c r="AA3998" s="9"/>
    </row>
    <row r="3999">
      <c r="A3999" s="9"/>
      <c r="B3999" s="9"/>
      <c r="C3999" s="9"/>
      <c r="D3999" s="9"/>
      <c r="E3999" s="9"/>
      <c r="F3999" s="9"/>
      <c r="G3999" s="10"/>
      <c r="H3999" s="9"/>
      <c r="I3999" s="15"/>
      <c r="J3999" s="9"/>
      <c r="K3999" s="9"/>
      <c r="L3999" s="9"/>
      <c r="M3999" s="9"/>
      <c r="N3999" s="9"/>
      <c r="O3999" s="9"/>
      <c r="P3999" s="9"/>
      <c r="Q3999" s="9"/>
      <c r="R3999" s="9"/>
      <c r="S3999" s="9"/>
      <c r="T3999" s="9"/>
      <c r="U3999" s="9"/>
      <c r="V3999" s="9"/>
      <c r="W3999" s="9"/>
      <c r="X3999" s="9"/>
      <c r="Y3999" s="9"/>
      <c r="Z3999" s="9"/>
      <c r="AA3999" s="9"/>
    </row>
    <row r="4000">
      <c r="A4000" s="9"/>
      <c r="B4000" s="9"/>
      <c r="C4000" s="9"/>
      <c r="D4000" s="9"/>
      <c r="E4000" s="9"/>
      <c r="F4000" s="9"/>
      <c r="G4000" s="10"/>
      <c r="H4000" s="9"/>
      <c r="I4000" s="15"/>
      <c r="J4000" s="9"/>
      <c r="K4000" s="9"/>
      <c r="L4000" s="9"/>
      <c r="M4000" s="9"/>
      <c r="N4000" s="9"/>
      <c r="O4000" s="9"/>
      <c r="P4000" s="9"/>
      <c r="Q4000" s="9"/>
      <c r="R4000" s="9"/>
      <c r="S4000" s="9"/>
      <c r="T4000" s="9"/>
      <c r="U4000" s="9"/>
      <c r="V4000" s="9"/>
      <c r="W4000" s="9"/>
      <c r="X4000" s="9"/>
      <c r="Y4000" s="9"/>
      <c r="Z4000" s="9"/>
      <c r="AA4000" s="9"/>
    </row>
    <row r="4001">
      <c r="A4001" s="9"/>
      <c r="B4001" s="9"/>
      <c r="C4001" s="9"/>
      <c r="D4001" s="9"/>
      <c r="E4001" s="9"/>
      <c r="F4001" s="9"/>
      <c r="G4001" s="10"/>
      <c r="H4001" s="9"/>
      <c r="I4001" s="15"/>
      <c r="J4001" s="9"/>
      <c r="K4001" s="9"/>
      <c r="L4001" s="9"/>
      <c r="M4001" s="9"/>
      <c r="N4001" s="9"/>
      <c r="O4001" s="9"/>
      <c r="P4001" s="9"/>
      <c r="Q4001" s="9"/>
      <c r="R4001" s="9"/>
      <c r="S4001" s="9"/>
      <c r="T4001" s="9"/>
      <c r="U4001" s="9"/>
      <c r="V4001" s="9"/>
      <c r="W4001" s="9"/>
      <c r="X4001" s="9"/>
      <c r="Y4001" s="9"/>
      <c r="Z4001" s="9"/>
      <c r="AA4001" s="9"/>
    </row>
    <row r="4002">
      <c r="A4002" s="9"/>
      <c r="B4002" s="9"/>
      <c r="C4002" s="9"/>
      <c r="D4002" s="9"/>
      <c r="E4002" s="9"/>
      <c r="F4002" s="9"/>
      <c r="G4002" s="10"/>
      <c r="H4002" s="9"/>
      <c r="I4002" s="15"/>
      <c r="J4002" s="9"/>
      <c r="K4002" s="9"/>
      <c r="L4002" s="9"/>
      <c r="M4002" s="9"/>
      <c r="N4002" s="9"/>
      <c r="O4002" s="9"/>
      <c r="P4002" s="9"/>
      <c r="Q4002" s="9"/>
      <c r="R4002" s="9"/>
      <c r="S4002" s="9"/>
      <c r="T4002" s="9"/>
      <c r="U4002" s="9"/>
      <c r="V4002" s="9"/>
      <c r="W4002" s="9"/>
      <c r="X4002" s="9"/>
      <c r="Y4002" s="9"/>
      <c r="Z4002" s="9"/>
      <c r="AA4002" s="9"/>
    </row>
    <row r="4003">
      <c r="A4003" s="9"/>
      <c r="B4003" s="9"/>
      <c r="C4003" s="9"/>
      <c r="D4003" s="9"/>
      <c r="E4003" s="9"/>
      <c r="F4003" s="9"/>
      <c r="G4003" s="10"/>
      <c r="H4003" s="9"/>
      <c r="I4003" s="15"/>
      <c r="J4003" s="9"/>
      <c r="K4003" s="9"/>
      <c r="L4003" s="9"/>
      <c r="M4003" s="9"/>
      <c r="N4003" s="9"/>
      <c r="O4003" s="9"/>
      <c r="P4003" s="9"/>
      <c r="Q4003" s="9"/>
      <c r="R4003" s="9"/>
      <c r="S4003" s="9"/>
      <c r="T4003" s="9"/>
      <c r="U4003" s="9"/>
      <c r="V4003" s="9"/>
      <c r="W4003" s="9"/>
      <c r="X4003" s="9"/>
      <c r="Y4003" s="9"/>
      <c r="Z4003" s="9"/>
      <c r="AA4003" s="9"/>
    </row>
    <row r="4004">
      <c r="A4004" s="9"/>
      <c r="B4004" s="9"/>
      <c r="C4004" s="9"/>
      <c r="D4004" s="9"/>
      <c r="E4004" s="9"/>
      <c r="F4004" s="9"/>
      <c r="G4004" s="10"/>
      <c r="H4004" s="9"/>
      <c r="I4004" s="15"/>
      <c r="J4004" s="9"/>
      <c r="K4004" s="9"/>
      <c r="L4004" s="9"/>
      <c r="M4004" s="9"/>
      <c r="N4004" s="9"/>
      <c r="O4004" s="9"/>
      <c r="P4004" s="9"/>
      <c r="Q4004" s="9"/>
      <c r="R4004" s="9"/>
      <c r="S4004" s="9"/>
      <c r="T4004" s="9"/>
      <c r="U4004" s="9"/>
      <c r="V4004" s="9"/>
      <c r="W4004" s="9"/>
      <c r="X4004" s="9"/>
      <c r="Y4004" s="9"/>
      <c r="Z4004" s="9"/>
      <c r="AA4004" s="9"/>
    </row>
    <row r="4005">
      <c r="A4005" s="9"/>
      <c r="B4005" s="9"/>
      <c r="C4005" s="9"/>
      <c r="D4005" s="9"/>
      <c r="E4005" s="9"/>
      <c r="F4005" s="9"/>
      <c r="G4005" s="10"/>
      <c r="H4005" s="9"/>
      <c r="I4005" s="15"/>
      <c r="J4005" s="9"/>
      <c r="K4005" s="9"/>
      <c r="L4005" s="9"/>
      <c r="M4005" s="9"/>
      <c r="N4005" s="9"/>
      <c r="O4005" s="9"/>
      <c r="P4005" s="9"/>
      <c r="Q4005" s="9"/>
      <c r="R4005" s="9"/>
      <c r="S4005" s="9"/>
      <c r="T4005" s="9"/>
      <c r="U4005" s="9"/>
      <c r="V4005" s="9"/>
      <c r="W4005" s="9"/>
      <c r="X4005" s="9"/>
      <c r="Y4005" s="9"/>
      <c r="Z4005" s="9"/>
      <c r="AA4005" s="9"/>
    </row>
    <row r="4006">
      <c r="A4006" s="9"/>
      <c r="B4006" s="9"/>
      <c r="C4006" s="9"/>
      <c r="D4006" s="9"/>
      <c r="E4006" s="9"/>
      <c r="F4006" s="9"/>
      <c r="G4006" s="10"/>
      <c r="H4006" s="9"/>
      <c r="I4006" s="15"/>
      <c r="J4006" s="9"/>
      <c r="K4006" s="9"/>
      <c r="L4006" s="9"/>
      <c r="M4006" s="9"/>
      <c r="N4006" s="9"/>
      <c r="O4006" s="9"/>
      <c r="P4006" s="9"/>
      <c r="Q4006" s="9"/>
      <c r="R4006" s="9"/>
      <c r="S4006" s="9"/>
      <c r="T4006" s="9"/>
      <c r="U4006" s="9"/>
      <c r="V4006" s="9"/>
      <c r="W4006" s="9"/>
      <c r="X4006" s="9"/>
      <c r="Y4006" s="9"/>
      <c r="Z4006" s="9"/>
      <c r="AA4006" s="9"/>
    </row>
    <row r="4007">
      <c r="A4007" s="9"/>
      <c r="B4007" s="9"/>
      <c r="C4007" s="9"/>
      <c r="D4007" s="9"/>
      <c r="E4007" s="9"/>
      <c r="F4007" s="9"/>
      <c r="G4007" s="10"/>
      <c r="H4007" s="9"/>
      <c r="I4007" s="15"/>
      <c r="J4007" s="9"/>
      <c r="K4007" s="9"/>
      <c r="L4007" s="9"/>
      <c r="M4007" s="9"/>
      <c r="N4007" s="9"/>
      <c r="O4007" s="9"/>
      <c r="P4007" s="9"/>
      <c r="Q4007" s="9"/>
      <c r="R4007" s="9"/>
      <c r="S4007" s="9"/>
      <c r="T4007" s="9"/>
      <c r="U4007" s="9"/>
      <c r="V4007" s="9"/>
      <c r="W4007" s="9"/>
      <c r="X4007" s="9"/>
      <c r="Y4007" s="9"/>
      <c r="Z4007" s="9"/>
      <c r="AA4007" s="9"/>
    </row>
    <row r="4008">
      <c r="A4008" s="9"/>
      <c r="B4008" s="9"/>
      <c r="C4008" s="9"/>
      <c r="D4008" s="9"/>
      <c r="E4008" s="9"/>
      <c r="F4008" s="9"/>
      <c r="G4008" s="10"/>
      <c r="H4008" s="9"/>
      <c r="I4008" s="15"/>
      <c r="J4008" s="9"/>
      <c r="K4008" s="9"/>
      <c r="L4008" s="9"/>
      <c r="M4008" s="9"/>
      <c r="N4008" s="9"/>
      <c r="O4008" s="9"/>
      <c r="P4008" s="9"/>
      <c r="Q4008" s="9"/>
      <c r="R4008" s="9"/>
      <c r="S4008" s="9"/>
      <c r="T4008" s="9"/>
      <c r="U4008" s="9"/>
      <c r="V4008" s="9"/>
      <c r="W4008" s="9"/>
      <c r="X4008" s="9"/>
      <c r="Y4008" s="9"/>
      <c r="Z4008" s="9"/>
      <c r="AA4008" s="9"/>
    </row>
    <row r="4009">
      <c r="A4009" s="9"/>
      <c r="B4009" s="9"/>
      <c r="C4009" s="9"/>
      <c r="D4009" s="9"/>
      <c r="E4009" s="9"/>
      <c r="F4009" s="9"/>
      <c r="G4009" s="10"/>
      <c r="H4009" s="9"/>
      <c r="I4009" s="15"/>
      <c r="J4009" s="9"/>
      <c r="K4009" s="9"/>
      <c r="L4009" s="9"/>
      <c r="M4009" s="9"/>
      <c r="N4009" s="9"/>
      <c r="O4009" s="9"/>
      <c r="P4009" s="9"/>
      <c r="Q4009" s="9"/>
      <c r="R4009" s="9"/>
      <c r="S4009" s="9"/>
      <c r="T4009" s="9"/>
      <c r="U4009" s="9"/>
      <c r="V4009" s="9"/>
      <c r="W4009" s="9"/>
      <c r="X4009" s="9"/>
      <c r="Y4009" s="9"/>
      <c r="Z4009" s="9"/>
      <c r="AA4009" s="9"/>
    </row>
    <row r="4010">
      <c r="A4010" s="9"/>
      <c r="B4010" s="9"/>
      <c r="C4010" s="9"/>
      <c r="D4010" s="9"/>
      <c r="E4010" s="9"/>
      <c r="F4010" s="9"/>
      <c r="G4010" s="10"/>
      <c r="H4010" s="9"/>
      <c r="I4010" s="15"/>
      <c r="J4010" s="9"/>
      <c r="K4010" s="9"/>
      <c r="L4010" s="9"/>
      <c r="M4010" s="9"/>
      <c r="N4010" s="9"/>
      <c r="O4010" s="9"/>
      <c r="P4010" s="9"/>
      <c r="Q4010" s="9"/>
      <c r="R4010" s="9"/>
      <c r="S4010" s="9"/>
      <c r="T4010" s="9"/>
      <c r="U4010" s="9"/>
      <c r="V4010" s="9"/>
      <c r="W4010" s="9"/>
      <c r="X4010" s="9"/>
      <c r="Y4010" s="9"/>
      <c r="Z4010" s="9"/>
      <c r="AA4010" s="9"/>
    </row>
    <row r="4011">
      <c r="A4011" s="9"/>
      <c r="B4011" s="9"/>
      <c r="C4011" s="9"/>
      <c r="D4011" s="9"/>
      <c r="E4011" s="9"/>
      <c r="F4011" s="9"/>
      <c r="G4011" s="10"/>
      <c r="H4011" s="9"/>
      <c r="I4011" s="15"/>
      <c r="J4011" s="9"/>
      <c r="K4011" s="9"/>
      <c r="L4011" s="9"/>
      <c r="M4011" s="9"/>
      <c r="N4011" s="9"/>
      <c r="O4011" s="9"/>
      <c r="P4011" s="9"/>
      <c r="Q4011" s="9"/>
      <c r="R4011" s="9"/>
      <c r="S4011" s="9"/>
      <c r="T4011" s="9"/>
      <c r="U4011" s="9"/>
      <c r="V4011" s="9"/>
      <c r="W4011" s="9"/>
      <c r="X4011" s="9"/>
      <c r="Y4011" s="9"/>
      <c r="Z4011" s="9"/>
      <c r="AA4011" s="9"/>
    </row>
    <row r="4012">
      <c r="A4012" s="9"/>
      <c r="B4012" s="9"/>
      <c r="C4012" s="9"/>
      <c r="D4012" s="9"/>
      <c r="E4012" s="9"/>
      <c r="F4012" s="9"/>
      <c r="G4012" s="10"/>
      <c r="H4012" s="9"/>
      <c r="I4012" s="15"/>
      <c r="J4012" s="9"/>
      <c r="K4012" s="9"/>
      <c r="L4012" s="9"/>
      <c r="M4012" s="9"/>
      <c r="N4012" s="9"/>
      <c r="O4012" s="9"/>
      <c r="P4012" s="9"/>
      <c r="Q4012" s="9"/>
      <c r="R4012" s="9"/>
      <c r="S4012" s="9"/>
      <c r="T4012" s="9"/>
      <c r="U4012" s="9"/>
      <c r="V4012" s="9"/>
      <c r="W4012" s="9"/>
      <c r="X4012" s="9"/>
      <c r="Y4012" s="9"/>
      <c r="Z4012" s="9"/>
      <c r="AA4012" s="9"/>
    </row>
    <row r="4013">
      <c r="A4013" s="9"/>
      <c r="B4013" s="9"/>
      <c r="C4013" s="9"/>
      <c r="D4013" s="9"/>
      <c r="E4013" s="9"/>
      <c r="F4013" s="9"/>
      <c r="G4013" s="10"/>
      <c r="H4013" s="9"/>
      <c r="I4013" s="15"/>
      <c r="J4013" s="9"/>
      <c r="K4013" s="9"/>
      <c r="L4013" s="9"/>
      <c r="M4013" s="9"/>
      <c r="N4013" s="9"/>
      <c r="O4013" s="9"/>
      <c r="P4013" s="9"/>
      <c r="Q4013" s="9"/>
      <c r="R4013" s="9"/>
      <c r="S4013" s="9"/>
      <c r="T4013" s="9"/>
      <c r="U4013" s="9"/>
      <c r="V4013" s="9"/>
      <c r="W4013" s="9"/>
      <c r="X4013" s="9"/>
      <c r="Y4013" s="9"/>
      <c r="Z4013" s="9"/>
      <c r="AA4013" s="9"/>
    </row>
    <row r="4014">
      <c r="A4014" s="9"/>
      <c r="B4014" s="9"/>
      <c r="C4014" s="9"/>
      <c r="D4014" s="9"/>
      <c r="E4014" s="9"/>
      <c r="F4014" s="9"/>
      <c r="G4014" s="10"/>
      <c r="H4014" s="9"/>
      <c r="I4014" s="15"/>
      <c r="J4014" s="9"/>
      <c r="K4014" s="9"/>
      <c r="L4014" s="9"/>
      <c r="M4014" s="9"/>
      <c r="N4014" s="9"/>
      <c r="O4014" s="9"/>
      <c r="P4014" s="9"/>
      <c r="Q4014" s="9"/>
      <c r="R4014" s="9"/>
      <c r="S4014" s="9"/>
      <c r="T4014" s="9"/>
      <c r="U4014" s="9"/>
      <c r="V4014" s="9"/>
      <c r="W4014" s="9"/>
      <c r="X4014" s="9"/>
      <c r="Y4014" s="9"/>
      <c r="Z4014" s="9"/>
      <c r="AA4014" s="9"/>
    </row>
    <row r="4015">
      <c r="A4015" s="9"/>
      <c r="B4015" s="9"/>
      <c r="C4015" s="9"/>
      <c r="D4015" s="9"/>
      <c r="E4015" s="9"/>
      <c r="F4015" s="9"/>
      <c r="G4015" s="10"/>
      <c r="H4015" s="9"/>
      <c r="I4015" s="15"/>
      <c r="J4015" s="9"/>
      <c r="K4015" s="9"/>
      <c r="L4015" s="9"/>
      <c r="M4015" s="9"/>
      <c r="N4015" s="9"/>
      <c r="O4015" s="9"/>
      <c r="P4015" s="9"/>
      <c r="Q4015" s="9"/>
      <c r="R4015" s="9"/>
      <c r="S4015" s="9"/>
      <c r="T4015" s="9"/>
      <c r="U4015" s="9"/>
      <c r="V4015" s="9"/>
      <c r="W4015" s="9"/>
      <c r="X4015" s="9"/>
      <c r="Y4015" s="9"/>
      <c r="Z4015" s="9"/>
      <c r="AA4015" s="9"/>
    </row>
    <row r="4016">
      <c r="A4016" s="9"/>
      <c r="B4016" s="9"/>
      <c r="C4016" s="9"/>
      <c r="D4016" s="9"/>
      <c r="E4016" s="9"/>
      <c r="F4016" s="9"/>
      <c r="G4016" s="10"/>
      <c r="H4016" s="9"/>
      <c r="I4016" s="15"/>
      <c r="J4016" s="9"/>
      <c r="K4016" s="9"/>
      <c r="L4016" s="9"/>
      <c r="M4016" s="9"/>
      <c r="N4016" s="9"/>
      <c r="O4016" s="9"/>
      <c r="P4016" s="9"/>
      <c r="Q4016" s="9"/>
      <c r="R4016" s="9"/>
      <c r="S4016" s="9"/>
      <c r="T4016" s="9"/>
      <c r="U4016" s="9"/>
      <c r="V4016" s="9"/>
      <c r="W4016" s="9"/>
      <c r="X4016" s="9"/>
      <c r="Y4016" s="9"/>
      <c r="Z4016" s="9"/>
      <c r="AA4016" s="9"/>
    </row>
    <row r="4017">
      <c r="A4017" s="9"/>
      <c r="B4017" s="9"/>
      <c r="C4017" s="9"/>
      <c r="D4017" s="9"/>
      <c r="E4017" s="9"/>
      <c r="F4017" s="9"/>
      <c r="G4017" s="10"/>
      <c r="H4017" s="9"/>
      <c r="I4017" s="15"/>
      <c r="J4017" s="9"/>
      <c r="K4017" s="9"/>
      <c r="L4017" s="9"/>
      <c r="M4017" s="9"/>
      <c r="N4017" s="9"/>
      <c r="O4017" s="9"/>
      <c r="P4017" s="9"/>
      <c r="Q4017" s="9"/>
      <c r="R4017" s="9"/>
      <c r="S4017" s="9"/>
      <c r="T4017" s="9"/>
      <c r="U4017" s="9"/>
      <c r="V4017" s="9"/>
      <c r="W4017" s="9"/>
      <c r="X4017" s="9"/>
      <c r="Y4017" s="9"/>
      <c r="Z4017" s="9"/>
      <c r="AA4017" s="9"/>
    </row>
    <row r="4018">
      <c r="A4018" s="9"/>
      <c r="B4018" s="9"/>
      <c r="C4018" s="9"/>
      <c r="D4018" s="9"/>
      <c r="E4018" s="9"/>
      <c r="F4018" s="9"/>
      <c r="G4018" s="10"/>
      <c r="H4018" s="9"/>
      <c r="I4018" s="15"/>
      <c r="J4018" s="9"/>
      <c r="K4018" s="9"/>
      <c r="L4018" s="9"/>
      <c r="M4018" s="9"/>
      <c r="N4018" s="9"/>
      <c r="O4018" s="9"/>
      <c r="P4018" s="9"/>
      <c r="Q4018" s="9"/>
      <c r="R4018" s="9"/>
      <c r="S4018" s="9"/>
      <c r="T4018" s="9"/>
      <c r="U4018" s="9"/>
      <c r="V4018" s="9"/>
      <c r="W4018" s="9"/>
      <c r="X4018" s="9"/>
      <c r="Y4018" s="9"/>
      <c r="Z4018" s="9"/>
      <c r="AA4018" s="9"/>
    </row>
    <row r="4019">
      <c r="A4019" s="9"/>
      <c r="B4019" s="9"/>
      <c r="C4019" s="9"/>
      <c r="D4019" s="9"/>
      <c r="E4019" s="9"/>
      <c r="F4019" s="9"/>
      <c r="G4019" s="10"/>
      <c r="H4019" s="9"/>
      <c r="I4019" s="15"/>
      <c r="J4019" s="9"/>
      <c r="K4019" s="9"/>
      <c r="L4019" s="9"/>
      <c r="M4019" s="9"/>
      <c r="N4019" s="9"/>
      <c r="O4019" s="9"/>
      <c r="P4019" s="9"/>
      <c r="Q4019" s="9"/>
      <c r="R4019" s="9"/>
      <c r="S4019" s="9"/>
      <c r="T4019" s="9"/>
      <c r="U4019" s="9"/>
      <c r="V4019" s="9"/>
      <c r="W4019" s="9"/>
      <c r="X4019" s="9"/>
      <c r="Y4019" s="9"/>
      <c r="Z4019" s="9"/>
      <c r="AA4019" s="9"/>
    </row>
    <row r="4020">
      <c r="A4020" s="9"/>
      <c r="B4020" s="9"/>
      <c r="C4020" s="9"/>
      <c r="D4020" s="9"/>
      <c r="E4020" s="9"/>
      <c r="F4020" s="9"/>
      <c r="G4020" s="10"/>
      <c r="H4020" s="9"/>
      <c r="I4020" s="15"/>
      <c r="J4020" s="9"/>
      <c r="K4020" s="9"/>
      <c r="L4020" s="9"/>
      <c r="M4020" s="9"/>
      <c r="N4020" s="9"/>
      <c r="O4020" s="9"/>
      <c r="P4020" s="9"/>
      <c r="Q4020" s="9"/>
      <c r="R4020" s="9"/>
      <c r="S4020" s="9"/>
      <c r="T4020" s="9"/>
      <c r="U4020" s="9"/>
      <c r="V4020" s="9"/>
      <c r="W4020" s="9"/>
      <c r="X4020" s="9"/>
      <c r="Y4020" s="9"/>
      <c r="Z4020" s="9"/>
      <c r="AA4020" s="9"/>
    </row>
    <row r="4021">
      <c r="A4021" s="9"/>
      <c r="B4021" s="9"/>
      <c r="C4021" s="9"/>
      <c r="D4021" s="9"/>
      <c r="E4021" s="9"/>
      <c r="F4021" s="9"/>
      <c r="G4021" s="10"/>
      <c r="H4021" s="9"/>
      <c r="I4021" s="15"/>
      <c r="J4021" s="9"/>
      <c r="K4021" s="9"/>
      <c r="L4021" s="9"/>
      <c r="M4021" s="9"/>
      <c r="N4021" s="9"/>
      <c r="O4021" s="9"/>
      <c r="P4021" s="9"/>
      <c r="Q4021" s="9"/>
      <c r="R4021" s="9"/>
      <c r="S4021" s="9"/>
      <c r="T4021" s="9"/>
      <c r="U4021" s="9"/>
      <c r="V4021" s="9"/>
      <c r="W4021" s="9"/>
      <c r="X4021" s="9"/>
      <c r="Y4021" s="9"/>
      <c r="Z4021" s="9"/>
      <c r="AA4021" s="9"/>
    </row>
    <row r="4022">
      <c r="A4022" s="9"/>
      <c r="B4022" s="9"/>
      <c r="C4022" s="9"/>
      <c r="D4022" s="9"/>
      <c r="E4022" s="9"/>
      <c r="F4022" s="9"/>
      <c r="G4022" s="10"/>
      <c r="H4022" s="9"/>
      <c r="I4022" s="15"/>
      <c r="J4022" s="9"/>
      <c r="K4022" s="9"/>
      <c r="L4022" s="9"/>
      <c r="M4022" s="9"/>
      <c r="N4022" s="9"/>
      <c r="O4022" s="9"/>
      <c r="P4022" s="9"/>
      <c r="Q4022" s="9"/>
      <c r="R4022" s="9"/>
      <c r="S4022" s="9"/>
      <c r="T4022" s="9"/>
      <c r="U4022" s="9"/>
      <c r="V4022" s="9"/>
      <c r="W4022" s="9"/>
      <c r="X4022" s="9"/>
      <c r="Y4022" s="9"/>
      <c r="Z4022" s="9"/>
      <c r="AA4022" s="9"/>
    </row>
    <row r="4023">
      <c r="A4023" s="9"/>
      <c r="B4023" s="9"/>
      <c r="C4023" s="9"/>
      <c r="D4023" s="9"/>
      <c r="E4023" s="9"/>
      <c r="F4023" s="9"/>
      <c r="G4023" s="10"/>
      <c r="H4023" s="9"/>
      <c r="I4023" s="15"/>
      <c r="J4023" s="9"/>
      <c r="K4023" s="9"/>
      <c r="L4023" s="9"/>
      <c r="M4023" s="9"/>
      <c r="N4023" s="9"/>
      <c r="O4023" s="9"/>
      <c r="P4023" s="9"/>
      <c r="Q4023" s="9"/>
      <c r="R4023" s="9"/>
      <c r="S4023" s="9"/>
      <c r="T4023" s="9"/>
      <c r="U4023" s="9"/>
      <c r="V4023" s="9"/>
      <c r="W4023" s="9"/>
      <c r="X4023" s="9"/>
      <c r="Y4023" s="9"/>
      <c r="Z4023" s="9"/>
      <c r="AA4023" s="9"/>
    </row>
    <row r="4024">
      <c r="A4024" s="9"/>
      <c r="B4024" s="9"/>
      <c r="C4024" s="9"/>
      <c r="D4024" s="9"/>
      <c r="E4024" s="9"/>
      <c r="F4024" s="9"/>
      <c r="G4024" s="10"/>
      <c r="H4024" s="9"/>
      <c r="I4024" s="15"/>
      <c r="J4024" s="9"/>
      <c r="K4024" s="9"/>
      <c r="L4024" s="9"/>
      <c r="M4024" s="9"/>
      <c r="N4024" s="9"/>
      <c r="O4024" s="9"/>
      <c r="P4024" s="9"/>
      <c r="Q4024" s="9"/>
      <c r="R4024" s="9"/>
      <c r="S4024" s="9"/>
      <c r="T4024" s="9"/>
      <c r="U4024" s="9"/>
      <c r="V4024" s="9"/>
      <c r="W4024" s="9"/>
      <c r="X4024" s="9"/>
      <c r="Y4024" s="9"/>
      <c r="Z4024" s="9"/>
      <c r="AA4024" s="9"/>
    </row>
    <row r="4025">
      <c r="A4025" s="9"/>
      <c r="B4025" s="9"/>
      <c r="C4025" s="9"/>
      <c r="D4025" s="9"/>
      <c r="E4025" s="9"/>
      <c r="F4025" s="9"/>
      <c r="G4025" s="10"/>
      <c r="H4025" s="9"/>
      <c r="I4025" s="15"/>
      <c r="J4025" s="9"/>
      <c r="K4025" s="9"/>
      <c r="L4025" s="9"/>
      <c r="M4025" s="9"/>
      <c r="N4025" s="9"/>
      <c r="O4025" s="9"/>
      <c r="P4025" s="9"/>
      <c r="Q4025" s="9"/>
      <c r="R4025" s="9"/>
      <c r="S4025" s="9"/>
      <c r="T4025" s="9"/>
      <c r="U4025" s="9"/>
      <c r="V4025" s="9"/>
      <c r="W4025" s="9"/>
      <c r="X4025" s="9"/>
      <c r="Y4025" s="9"/>
      <c r="Z4025" s="9"/>
      <c r="AA4025" s="9"/>
    </row>
    <row r="4026">
      <c r="A4026" s="9"/>
      <c r="B4026" s="9"/>
      <c r="C4026" s="9"/>
      <c r="D4026" s="9"/>
      <c r="E4026" s="9"/>
      <c r="F4026" s="9"/>
      <c r="G4026" s="10"/>
      <c r="H4026" s="9"/>
      <c r="I4026" s="15"/>
      <c r="J4026" s="9"/>
      <c r="K4026" s="9"/>
      <c r="L4026" s="9"/>
      <c r="M4026" s="9"/>
      <c r="N4026" s="9"/>
      <c r="O4026" s="9"/>
      <c r="P4026" s="9"/>
      <c r="Q4026" s="9"/>
      <c r="R4026" s="9"/>
      <c r="S4026" s="9"/>
      <c r="T4026" s="9"/>
      <c r="U4026" s="9"/>
      <c r="V4026" s="9"/>
      <c r="W4026" s="9"/>
      <c r="X4026" s="9"/>
      <c r="Y4026" s="9"/>
      <c r="Z4026" s="9"/>
      <c r="AA4026" s="9"/>
    </row>
    <row r="4027">
      <c r="A4027" s="9"/>
      <c r="B4027" s="9"/>
      <c r="C4027" s="9"/>
      <c r="D4027" s="9"/>
      <c r="E4027" s="9"/>
      <c r="F4027" s="9"/>
      <c r="G4027" s="10"/>
      <c r="H4027" s="9"/>
      <c r="I4027" s="15"/>
      <c r="J4027" s="9"/>
      <c r="K4027" s="9"/>
      <c r="L4027" s="9"/>
      <c r="M4027" s="9"/>
      <c r="N4027" s="9"/>
      <c r="O4027" s="9"/>
      <c r="P4027" s="9"/>
      <c r="Q4027" s="9"/>
      <c r="R4027" s="9"/>
      <c r="S4027" s="9"/>
      <c r="T4027" s="9"/>
      <c r="U4027" s="9"/>
      <c r="V4027" s="9"/>
      <c r="W4027" s="9"/>
      <c r="X4027" s="9"/>
      <c r="Y4027" s="9"/>
      <c r="Z4027" s="9"/>
      <c r="AA4027" s="9"/>
    </row>
    <row r="4028">
      <c r="A4028" s="9"/>
      <c r="B4028" s="9"/>
      <c r="C4028" s="9"/>
      <c r="D4028" s="9"/>
      <c r="E4028" s="9"/>
      <c r="F4028" s="9"/>
      <c r="G4028" s="10"/>
      <c r="H4028" s="9"/>
      <c r="I4028" s="15"/>
      <c r="J4028" s="9"/>
      <c r="K4028" s="9"/>
      <c r="L4028" s="9"/>
      <c r="M4028" s="9"/>
      <c r="N4028" s="9"/>
      <c r="O4028" s="9"/>
      <c r="P4028" s="9"/>
      <c r="Q4028" s="9"/>
      <c r="R4028" s="9"/>
      <c r="S4028" s="9"/>
      <c r="T4028" s="9"/>
      <c r="U4028" s="9"/>
      <c r="V4028" s="9"/>
      <c r="W4028" s="9"/>
      <c r="X4028" s="9"/>
      <c r="Y4028" s="9"/>
      <c r="Z4028" s="9"/>
      <c r="AA4028" s="9"/>
    </row>
    <row r="4029">
      <c r="A4029" s="9"/>
      <c r="B4029" s="9"/>
      <c r="C4029" s="9"/>
      <c r="D4029" s="9"/>
      <c r="E4029" s="9"/>
      <c r="F4029" s="9"/>
      <c r="G4029" s="10"/>
      <c r="H4029" s="9"/>
      <c r="I4029" s="15"/>
      <c r="J4029" s="9"/>
      <c r="K4029" s="9"/>
      <c r="L4029" s="9"/>
      <c r="M4029" s="9"/>
      <c r="N4029" s="9"/>
      <c r="O4029" s="9"/>
      <c r="P4029" s="9"/>
      <c r="Q4029" s="9"/>
      <c r="R4029" s="9"/>
      <c r="S4029" s="9"/>
      <c r="T4029" s="9"/>
      <c r="U4029" s="9"/>
      <c r="V4029" s="9"/>
      <c r="W4029" s="9"/>
      <c r="X4029" s="9"/>
      <c r="Y4029" s="9"/>
      <c r="Z4029" s="9"/>
      <c r="AA4029" s="9"/>
    </row>
    <row r="4030">
      <c r="A4030" s="9"/>
      <c r="B4030" s="9"/>
      <c r="C4030" s="9"/>
      <c r="D4030" s="9"/>
      <c r="E4030" s="9"/>
      <c r="F4030" s="9"/>
      <c r="G4030" s="10"/>
      <c r="H4030" s="9"/>
      <c r="I4030" s="15"/>
      <c r="J4030" s="9"/>
      <c r="K4030" s="9"/>
      <c r="L4030" s="9"/>
      <c r="M4030" s="9"/>
      <c r="N4030" s="9"/>
      <c r="O4030" s="9"/>
      <c r="P4030" s="9"/>
      <c r="Q4030" s="9"/>
      <c r="R4030" s="9"/>
      <c r="S4030" s="9"/>
      <c r="T4030" s="9"/>
      <c r="U4030" s="9"/>
      <c r="V4030" s="9"/>
      <c r="W4030" s="9"/>
      <c r="X4030" s="9"/>
      <c r="Y4030" s="9"/>
      <c r="Z4030" s="9"/>
      <c r="AA4030" s="9"/>
    </row>
    <row r="4031">
      <c r="A4031" s="9"/>
      <c r="B4031" s="9"/>
      <c r="C4031" s="9"/>
      <c r="D4031" s="9"/>
      <c r="E4031" s="9"/>
      <c r="F4031" s="9"/>
      <c r="G4031" s="10"/>
      <c r="H4031" s="9"/>
      <c r="I4031" s="15"/>
      <c r="J4031" s="9"/>
      <c r="K4031" s="9"/>
      <c r="L4031" s="9"/>
      <c r="M4031" s="9"/>
      <c r="N4031" s="9"/>
      <c r="O4031" s="9"/>
      <c r="P4031" s="9"/>
      <c r="Q4031" s="9"/>
      <c r="R4031" s="9"/>
      <c r="S4031" s="9"/>
      <c r="T4031" s="9"/>
      <c r="U4031" s="9"/>
      <c r="V4031" s="9"/>
      <c r="W4031" s="9"/>
      <c r="X4031" s="9"/>
      <c r="Y4031" s="9"/>
      <c r="Z4031" s="9"/>
      <c r="AA4031" s="9"/>
    </row>
    <row r="4032">
      <c r="A4032" s="9"/>
      <c r="B4032" s="9"/>
      <c r="C4032" s="9"/>
      <c r="D4032" s="9"/>
      <c r="E4032" s="9"/>
      <c r="F4032" s="9"/>
      <c r="G4032" s="10"/>
      <c r="H4032" s="9"/>
      <c r="I4032" s="15"/>
      <c r="J4032" s="9"/>
      <c r="K4032" s="9"/>
      <c r="L4032" s="9"/>
      <c r="M4032" s="9"/>
      <c r="N4032" s="9"/>
      <c r="O4032" s="9"/>
      <c r="P4032" s="9"/>
      <c r="Q4032" s="9"/>
      <c r="R4032" s="9"/>
      <c r="S4032" s="9"/>
      <c r="T4032" s="9"/>
      <c r="U4032" s="9"/>
      <c r="V4032" s="9"/>
      <c r="W4032" s="9"/>
      <c r="X4032" s="9"/>
      <c r="Y4032" s="9"/>
      <c r="Z4032" s="9"/>
      <c r="AA4032" s="9"/>
    </row>
    <row r="4033">
      <c r="A4033" s="9"/>
      <c r="B4033" s="9"/>
      <c r="C4033" s="9"/>
      <c r="D4033" s="9"/>
      <c r="E4033" s="9"/>
      <c r="F4033" s="9"/>
      <c r="G4033" s="10"/>
      <c r="H4033" s="9"/>
      <c r="I4033" s="15"/>
      <c r="J4033" s="9"/>
      <c r="K4033" s="9"/>
      <c r="L4033" s="9"/>
      <c r="M4033" s="9"/>
      <c r="N4033" s="9"/>
      <c r="O4033" s="9"/>
      <c r="P4033" s="9"/>
      <c r="Q4033" s="9"/>
      <c r="R4033" s="9"/>
      <c r="S4033" s="9"/>
      <c r="T4033" s="9"/>
      <c r="U4033" s="9"/>
      <c r="V4033" s="9"/>
      <c r="W4033" s="9"/>
      <c r="X4033" s="9"/>
      <c r="Y4033" s="9"/>
      <c r="Z4033" s="9"/>
      <c r="AA4033" s="9"/>
    </row>
    <row r="4034">
      <c r="A4034" s="9"/>
      <c r="B4034" s="9"/>
      <c r="C4034" s="9"/>
      <c r="D4034" s="9"/>
      <c r="E4034" s="9"/>
      <c r="F4034" s="9"/>
      <c r="G4034" s="10"/>
      <c r="H4034" s="9"/>
      <c r="I4034" s="15"/>
      <c r="J4034" s="9"/>
      <c r="K4034" s="9"/>
      <c r="L4034" s="9"/>
      <c r="M4034" s="9"/>
      <c r="N4034" s="9"/>
      <c r="O4034" s="9"/>
      <c r="P4034" s="9"/>
      <c r="Q4034" s="9"/>
      <c r="R4034" s="9"/>
      <c r="S4034" s="9"/>
      <c r="T4034" s="9"/>
      <c r="U4034" s="9"/>
      <c r="V4034" s="9"/>
      <c r="W4034" s="9"/>
      <c r="X4034" s="9"/>
      <c r="Y4034" s="9"/>
      <c r="Z4034" s="9"/>
      <c r="AA4034" s="9"/>
    </row>
    <row r="4035">
      <c r="A4035" s="9"/>
      <c r="B4035" s="9"/>
      <c r="C4035" s="9"/>
      <c r="D4035" s="9"/>
      <c r="E4035" s="9"/>
      <c r="F4035" s="9"/>
      <c r="G4035" s="10"/>
      <c r="H4035" s="9"/>
      <c r="I4035" s="15"/>
      <c r="J4035" s="9"/>
      <c r="K4035" s="9"/>
      <c r="L4035" s="9"/>
      <c r="M4035" s="9"/>
      <c r="N4035" s="9"/>
      <c r="O4035" s="9"/>
      <c r="P4035" s="9"/>
      <c r="Q4035" s="9"/>
      <c r="R4035" s="9"/>
      <c r="S4035" s="9"/>
      <c r="T4035" s="9"/>
      <c r="U4035" s="9"/>
      <c r="V4035" s="9"/>
      <c r="W4035" s="9"/>
      <c r="X4035" s="9"/>
      <c r="Y4035" s="9"/>
      <c r="Z4035" s="9"/>
      <c r="AA4035" s="9"/>
    </row>
    <row r="4036">
      <c r="A4036" s="9"/>
      <c r="B4036" s="9"/>
      <c r="C4036" s="9"/>
      <c r="D4036" s="9"/>
      <c r="E4036" s="9"/>
      <c r="F4036" s="9"/>
      <c r="G4036" s="10"/>
      <c r="H4036" s="9"/>
      <c r="I4036" s="15"/>
      <c r="J4036" s="9"/>
      <c r="K4036" s="9"/>
      <c r="L4036" s="9"/>
      <c r="M4036" s="9"/>
      <c r="N4036" s="9"/>
      <c r="O4036" s="9"/>
      <c r="P4036" s="9"/>
      <c r="Q4036" s="9"/>
      <c r="R4036" s="9"/>
      <c r="S4036" s="9"/>
      <c r="T4036" s="9"/>
      <c r="U4036" s="9"/>
      <c r="V4036" s="9"/>
      <c r="W4036" s="9"/>
      <c r="X4036" s="9"/>
      <c r="Y4036" s="9"/>
      <c r="Z4036" s="9"/>
      <c r="AA4036" s="9"/>
    </row>
    <row r="4037">
      <c r="A4037" s="9"/>
      <c r="B4037" s="9"/>
      <c r="C4037" s="9"/>
      <c r="D4037" s="9"/>
      <c r="E4037" s="9"/>
      <c r="F4037" s="9"/>
      <c r="G4037" s="10"/>
      <c r="H4037" s="9"/>
      <c r="I4037" s="15"/>
      <c r="J4037" s="9"/>
      <c r="K4037" s="9"/>
      <c r="L4037" s="9"/>
      <c r="M4037" s="9"/>
      <c r="N4037" s="9"/>
      <c r="O4037" s="9"/>
      <c r="P4037" s="9"/>
      <c r="Q4037" s="9"/>
      <c r="R4037" s="9"/>
      <c r="S4037" s="9"/>
      <c r="T4037" s="9"/>
      <c r="U4037" s="9"/>
      <c r="V4037" s="9"/>
      <c r="W4037" s="9"/>
      <c r="X4037" s="9"/>
      <c r="Y4037" s="9"/>
      <c r="Z4037" s="9"/>
      <c r="AA4037" s="9"/>
    </row>
    <row r="4038">
      <c r="A4038" s="9"/>
      <c r="B4038" s="9"/>
      <c r="C4038" s="9"/>
      <c r="D4038" s="9"/>
      <c r="E4038" s="9"/>
      <c r="F4038" s="9"/>
      <c r="G4038" s="10"/>
      <c r="H4038" s="9"/>
      <c r="I4038" s="15"/>
      <c r="J4038" s="9"/>
      <c r="K4038" s="9"/>
      <c r="L4038" s="9"/>
      <c r="M4038" s="9"/>
      <c r="N4038" s="9"/>
      <c r="O4038" s="9"/>
      <c r="P4038" s="9"/>
      <c r="Q4038" s="9"/>
      <c r="R4038" s="9"/>
      <c r="S4038" s="9"/>
      <c r="T4038" s="9"/>
      <c r="U4038" s="9"/>
      <c r="V4038" s="9"/>
      <c r="W4038" s="9"/>
      <c r="X4038" s="9"/>
      <c r="Y4038" s="9"/>
      <c r="Z4038" s="9"/>
      <c r="AA4038" s="9"/>
    </row>
    <row r="4039">
      <c r="A4039" s="9"/>
      <c r="B4039" s="9"/>
      <c r="C4039" s="9"/>
      <c r="D4039" s="9"/>
      <c r="E4039" s="9"/>
      <c r="F4039" s="9"/>
      <c r="G4039" s="10"/>
      <c r="H4039" s="9"/>
      <c r="I4039" s="15"/>
      <c r="J4039" s="9"/>
      <c r="K4039" s="9"/>
      <c r="L4039" s="9"/>
      <c r="M4039" s="9"/>
      <c r="N4039" s="9"/>
      <c r="O4039" s="9"/>
      <c r="P4039" s="9"/>
      <c r="Q4039" s="9"/>
      <c r="R4039" s="9"/>
      <c r="S4039" s="9"/>
      <c r="T4039" s="9"/>
      <c r="U4039" s="9"/>
      <c r="V4039" s="9"/>
      <c r="W4039" s="9"/>
      <c r="X4039" s="9"/>
      <c r="Y4039" s="9"/>
      <c r="Z4039" s="9"/>
      <c r="AA4039" s="9"/>
    </row>
    <row r="4040">
      <c r="A4040" s="9"/>
      <c r="B4040" s="9"/>
      <c r="C4040" s="9"/>
      <c r="D4040" s="9"/>
      <c r="E4040" s="9"/>
      <c r="F4040" s="9"/>
      <c r="G4040" s="10"/>
      <c r="H4040" s="9"/>
      <c r="I4040" s="15"/>
      <c r="J4040" s="9"/>
      <c r="K4040" s="9"/>
      <c r="L4040" s="9"/>
      <c r="M4040" s="9"/>
      <c r="N4040" s="9"/>
      <c r="O4040" s="9"/>
      <c r="P4040" s="9"/>
      <c r="Q4040" s="9"/>
      <c r="R4040" s="9"/>
      <c r="S4040" s="9"/>
      <c r="T4040" s="9"/>
      <c r="U4040" s="9"/>
      <c r="V4040" s="9"/>
      <c r="W4040" s="9"/>
      <c r="X4040" s="9"/>
      <c r="Y4040" s="9"/>
      <c r="Z4040" s="9"/>
      <c r="AA4040" s="9"/>
    </row>
    <row r="4041">
      <c r="A4041" s="9"/>
      <c r="B4041" s="9"/>
      <c r="C4041" s="9"/>
      <c r="D4041" s="9"/>
      <c r="E4041" s="9"/>
      <c r="F4041" s="9"/>
      <c r="G4041" s="10"/>
      <c r="H4041" s="9"/>
      <c r="I4041" s="15"/>
      <c r="J4041" s="9"/>
      <c r="K4041" s="9"/>
      <c r="L4041" s="9"/>
      <c r="M4041" s="9"/>
      <c r="N4041" s="9"/>
      <c r="O4041" s="9"/>
      <c r="P4041" s="9"/>
      <c r="Q4041" s="9"/>
      <c r="R4041" s="9"/>
      <c r="S4041" s="9"/>
      <c r="T4041" s="9"/>
      <c r="U4041" s="9"/>
      <c r="V4041" s="9"/>
      <c r="W4041" s="9"/>
      <c r="X4041" s="9"/>
      <c r="Y4041" s="9"/>
      <c r="Z4041" s="9"/>
      <c r="AA4041" s="9"/>
    </row>
    <row r="4042">
      <c r="A4042" s="9"/>
      <c r="B4042" s="9"/>
      <c r="C4042" s="9"/>
      <c r="D4042" s="9"/>
      <c r="E4042" s="9"/>
      <c r="F4042" s="9"/>
      <c r="G4042" s="10"/>
      <c r="H4042" s="9"/>
      <c r="I4042" s="15"/>
      <c r="J4042" s="9"/>
      <c r="K4042" s="9"/>
      <c r="L4042" s="9"/>
      <c r="M4042" s="9"/>
      <c r="N4042" s="9"/>
      <c r="O4042" s="9"/>
      <c r="P4042" s="9"/>
      <c r="Q4042" s="9"/>
      <c r="R4042" s="9"/>
      <c r="S4042" s="9"/>
      <c r="T4042" s="9"/>
      <c r="U4042" s="9"/>
      <c r="V4042" s="9"/>
      <c r="W4042" s="9"/>
      <c r="X4042" s="9"/>
      <c r="Y4042" s="9"/>
      <c r="Z4042" s="9"/>
      <c r="AA4042" s="9"/>
    </row>
    <row r="4043">
      <c r="A4043" s="9"/>
      <c r="B4043" s="9"/>
      <c r="C4043" s="9"/>
      <c r="D4043" s="9"/>
      <c r="E4043" s="9"/>
      <c r="F4043" s="9"/>
      <c r="G4043" s="10"/>
      <c r="H4043" s="9"/>
      <c r="I4043" s="15"/>
      <c r="J4043" s="9"/>
      <c r="K4043" s="9"/>
      <c r="L4043" s="9"/>
      <c r="M4043" s="9"/>
      <c r="N4043" s="9"/>
      <c r="O4043" s="9"/>
      <c r="P4043" s="9"/>
      <c r="Q4043" s="9"/>
      <c r="R4043" s="9"/>
      <c r="S4043" s="9"/>
      <c r="T4043" s="9"/>
      <c r="U4043" s="9"/>
      <c r="V4043" s="9"/>
      <c r="W4043" s="9"/>
      <c r="X4043" s="9"/>
      <c r="Y4043" s="9"/>
      <c r="Z4043" s="9"/>
      <c r="AA4043" s="9"/>
    </row>
    <row r="4044">
      <c r="A4044" s="9"/>
      <c r="B4044" s="9"/>
      <c r="C4044" s="9"/>
      <c r="D4044" s="9"/>
      <c r="E4044" s="9"/>
      <c r="F4044" s="9"/>
      <c r="G4044" s="10"/>
      <c r="H4044" s="9"/>
      <c r="I4044" s="15"/>
      <c r="J4044" s="9"/>
      <c r="K4044" s="9"/>
      <c r="L4044" s="9"/>
      <c r="M4044" s="9"/>
      <c r="N4044" s="9"/>
      <c r="O4044" s="9"/>
      <c r="P4044" s="9"/>
      <c r="Q4044" s="9"/>
      <c r="R4044" s="9"/>
      <c r="S4044" s="9"/>
      <c r="T4044" s="9"/>
      <c r="U4044" s="9"/>
      <c r="V4044" s="9"/>
      <c r="W4044" s="9"/>
      <c r="X4044" s="9"/>
      <c r="Y4044" s="9"/>
      <c r="Z4044" s="9"/>
      <c r="AA4044" s="9"/>
    </row>
    <row r="4045">
      <c r="A4045" s="9"/>
      <c r="B4045" s="9"/>
      <c r="C4045" s="9"/>
      <c r="D4045" s="9"/>
      <c r="E4045" s="9"/>
      <c r="F4045" s="9"/>
      <c r="G4045" s="10"/>
      <c r="H4045" s="9"/>
      <c r="I4045" s="15"/>
      <c r="J4045" s="9"/>
      <c r="K4045" s="9"/>
      <c r="L4045" s="9"/>
      <c r="M4045" s="9"/>
      <c r="N4045" s="9"/>
      <c r="O4045" s="9"/>
      <c r="P4045" s="9"/>
      <c r="Q4045" s="9"/>
      <c r="R4045" s="9"/>
      <c r="S4045" s="9"/>
      <c r="T4045" s="9"/>
      <c r="U4045" s="9"/>
      <c r="V4045" s="9"/>
      <c r="W4045" s="9"/>
      <c r="X4045" s="9"/>
      <c r="Y4045" s="9"/>
      <c r="Z4045" s="9"/>
      <c r="AA4045" s="9"/>
    </row>
    <row r="4046">
      <c r="A4046" s="9"/>
      <c r="B4046" s="9"/>
      <c r="C4046" s="9"/>
      <c r="D4046" s="9"/>
      <c r="E4046" s="9"/>
      <c r="F4046" s="9"/>
      <c r="G4046" s="10"/>
      <c r="H4046" s="9"/>
      <c r="I4046" s="15"/>
      <c r="J4046" s="9"/>
      <c r="K4046" s="9"/>
      <c r="L4046" s="9"/>
      <c r="M4046" s="9"/>
      <c r="N4046" s="9"/>
      <c r="O4046" s="9"/>
      <c r="P4046" s="9"/>
      <c r="Q4046" s="9"/>
      <c r="R4046" s="9"/>
      <c r="S4046" s="9"/>
      <c r="T4046" s="9"/>
      <c r="U4046" s="9"/>
      <c r="V4046" s="9"/>
      <c r="W4046" s="9"/>
      <c r="X4046" s="9"/>
      <c r="Y4046" s="9"/>
      <c r="Z4046" s="9"/>
      <c r="AA4046" s="9"/>
    </row>
    <row r="4047">
      <c r="A4047" s="9"/>
      <c r="B4047" s="9"/>
      <c r="C4047" s="9"/>
      <c r="D4047" s="9"/>
      <c r="E4047" s="9"/>
      <c r="F4047" s="9"/>
      <c r="G4047" s="10"/>
      <c r="H4047" s="9"/>
      <c r="I4047" s="15"/>
      <c r="J4047" s="9"/>
      <c r="K4047" s="9"/>
      <c r="L4047" s="9"/>
      <c r="M4047" s="9"/>
      <c r="N4047" s="9"/>
      <c r="O4047" s="9"/>
      <c r="P4047" s="9"/>
      <c r="Q4047" s="9"/>
      <c r="R4047" s="9"/>
      <c r="S4047" s="9"/>
      <c r="T4047" s="9"/>
      <c r="U4047" s="9"/>
      <c r="V4047" s="9"/>
      <c r="W4047" s="9"/>
      <c r="X4047" s="9"/>
      <c r="Y4047" s="9"/>
      <c r="Z4047" s="9"/>
      <c r="AA4047" s="9"/>
    </row>
    <row r="4048">
      <c r="A4048" s="9"/>
      <c r="B4048" s="9"/>
      <c r="C4048" s="9"/>
      <c r="D4048" s="9"/>
      <c r="E4048" s="9"/>
      <c r="F4048" s="9"/>
      <c r="G4048" s="10"/>
      <c r="H4048" s="9"/>
      <c r="I4048" s="15"/>
      <c r="J4048" s="9"/>
      <c r="K4048" s="9"/>
      <c r="L4048" s="9"/>
      <c r="M4048" s="9"/>
      <c r="N4048" s="9"/>
      <c r="O4048" s="9"/>
      <c r="P4048" s="9"/>
      <c r="Q4048" s="9"/>
      <c r="R4048" s="9"/>
      <c r="S4048" s="9"/>
      <c r="T4048" s="9"/>
      <c r="U4048" s="9"/>
      <c r="V4048" s="9"/>
      <c r="W4048" s="9"/>
      <c r="X4048" s="9"/>
      <c r="Y4048" s="9"/>
      <c r="Z4048" s="9"/>
      <c r="AA4048" s="9"/>
    </row>
    <row r="4049">
      <c r="A4049" s="9"/>
      <c r="B4049" s="9"/>
      <c r="C4049" s="9"/>
      <c r="D4049" s="9"/>
      <c r="E4049" s="9"/>
      <c r="F4049" s="9"/>
      <c r="G4049" s="10"/>
      <c r="H4049" s="9"/>
      <c r="I4049" s="15"/>
      <c r="J4049" s="9"/>
      <c r="K4049" s="9"/>
      <c r="L4049" s="9"/>
      <c r="M4049" s="9"/>
      <c r="N4049" s="9"/>
      <c r="O4049" s="9"/>
      <c r="P4049" s="9"/>
      <c r="Q4049" s="9"/>
      <c r="R4049" s="9"/>
      <c r="S4049" s="9"/>
      <c r="T4049" s="9"/>
      <c r="U4049" s="9"/>
      <c r="V4049" s="9"/>
      <c r="W4049" s="9"/>
      <c r="X4049" s="9"/>
      <c r="Y4049" s="9"/>
      <c r="Z4049" s="9"/>
      <c r="AA4049" s="9"/>
    </row>
    <row r="4050">
      <c r="A4050" s="9"/>
      <c r="B4050" s="9"/>
      <c r="C4050" s="9"/>
      <c r="D4050" s="9"/>
      <c r="E4050" s="9"/>
      <c r="F4050" s="9"/>
      <c r="G4050" s="10"/>
      <c r="H4050" s="9"/>
      <c r="I4050" s="15"/>
      <c r="J4050" s="9"/>
      <c r="K4050" s="9"/>
      <c r="L4050" s="9"/>
      <c r="M4050" s="9"/>
      <c r="N4050" s="9"/>
      <c r="O4050" s="9"/>
      <c r="P4050" s="9"/>
      <c r="Q4050" s="9"/>
      <c r="R4050" s="9"/>
      <c r="S4050" s="9"/>
      <c r="T4050" s="9"/>
      <c r="U4050" s="9"/>
      <c r="V4050" s="9"/>
      <c r="W4050" s="9"/>
      <c r="X4050" s="9"/>
      <c r="Y4050" s="9"/>
      <c r="Z4050" s="9"/>
      <c r="AA4050" s="9"/>
    </row>
    <row r="4051">
      <c r="A4051" s="9"/>
      <c r="B4051" s="9"/>
      <c r="C4051" s="9"/>
      <c r="D4051" s="9"/>
      <c r="E4051" s="9"/>
      <c r="F4051" s="9"/>
      <c r="G4051" s="10"/>
      <c r="H4051" s="9"/>
      <c r="I4051" s="15"/>
      <c r="J4051" s="9"/>
      <c r="K4051" s="9"/>
      <c r="L4051" s="9"/>
      <c r="M4051" s="9"/>
      <c r="N4051" s="9"/>
      <c r="O4051" s="9"/>
      <c r="P4051" s="9"/>
      <c r="Q4051" s="9"/>
      <c r="R4051" s="9"/>
      <c r="S4051" s="9"/>
      <c r="T4051" s="9"/>
      <c r="U4051" s="9"/>
      <c r="V4051" s="9"/>
      <c r="W4051" s="9"/>
      <c r="X4051" s="9"/>
      <c r="Y4051" s="9"/>
      <c r="Z4051" s="9"/>
      <c r="AA4051" s="9"/>
    </row>
    <row r="4052">
      <c r="A4052" s="9"/>
      <c r="B4052" s="9"/>
      <c r="C4052" s="9"/>
      <c r="D4052" s="9"/>
      <c r="E4052" s="9"/>
      <c r="F4052" s="9"/>
      <c r="G4052" s="10"/>
      <c r="H4052" s="9"/>
      <c r="I4052" s="15"/>
      <c r="J4052" s="9"/>
      <c r="K4052" s="9"/>
      <c r="L4052" s="9"/>
      <c r="M4052" s="9"/>
      <c r="N4052" s="9"/>
      <c r="O4052" s="9"/>
      <c r="P4052" s="9"/>
      <c r="Q4052" s="9"/>
      <c r="R4052" s="9"/>
      <c r="S4052" s="9"/>
      <c r="T4052" s="9"/>
      <c r="U4052" s="9"/>
      <c r="V4052" s="9"/>
      <c r="W4052" s="9"/>
      <c r="X4052" s="9"/>
      <c r="Y4052" s="9"/>
      <c r="Z4052" s="9"/>
      <c r="AA4052" s="9"/>
    </row>
    <row r="4053">
      <c r="A4053" s="9"/>
      <c r="B4053" s="9"/>
      <c r="C4053" s="9"/>
      <c r="D4053" s="9"/>
      <c r="E4053" s="9"/>
      <c r="F4053" s="9"/>
      <c r="G4053" s="10"/>
      <c r="H4053" s="9"/>
      <c r="I4053" s="15"/>
      <c r="J4053" s="9"/>
      <c r="K4053" s="9"/>
      <c r="L4053" s="9"/>
      <c r="M4053" s="9"/>
      <c r="N4053" s="9"/>
      <c r="O4053" s="9"/>
      <c r="P4053" s="9"/>
      <c r="Q4053" s="9"/>
      <c r="R4053" s="9"/>
      <c r="S4053" s="9"/>
      <c r="T4053" s="9"/>
      <c r="U4053" s="9"/>
      <c r="V4053" s="9"/>
      <c r="W4053" s="9"/>
      <c r="X4053" s="9"/>
      <c r="Y4053" s="9"/>
      <c r="Z4053" s="9"/>
      <c r="AA4053" s="9"/>
    </row>
    <row r="4054">
      <c r="A4054" s="9"/>
      <c r="B4054" s="9"/>
      <c r="C4054" s="9"/>
      <c r="D4054" s="9"/>
      <c r="E4054" s="9"/>
      <c r="F4054" s="9"/>
      <c r="G4054" s="10"/>
      <c r="H4054" s="9"/>
      <c r="I4054" s="15"/>
      <c r="J4054" s="9"/>
      <c r="K4054" s="9"/>
      <c r="L4054" s="9"/>
      <c r="M4054" s="9"/>
      <c r="N4054" s="9"/>
      <c r="O4054" s="9"/>
      <c r="P4054" s="9"/>
      <c r="Q4054" s="9"/>
      <c r="R4054" s="9"/>
      <c r="S4054" s="9"/>
      <c r="T4054" s="9"/>
      <c r="U4054" s="9"/>
      <c r="V4054" s="9"/>
      <c r="W4054" s="9"/>
      <c r="X4054" s="9"/>
      <c r="Y4054" s="9"/>
      <c r="Z4054" s="9"/>
      <c r="AA4054" s="9"/>
    </row>
    <row r="4055">
      <c r="A4055" s="9"/>
      <c r="B4055" s="9"/>
      <c r="C4055" s="9"/>
      <c r="D4055" s="9"/>
      <c r="E4055" s="9"/>
      <c r="F4055" s="9"/>
      <c r="G4055" s="10"/>
      <c r="H4055" s="9"/>
      <c r="I4055" s="15"/>
      <c r="J4055" s="9"/>
      <c r="K4055" s="9"/>
      <c r="L4055" s="9"/>
      <c r="M4055" s="9"/>
      <c r="N4055" s="9"/>
      <c r="O4055" s="9"/>
      <c r="P4055" s="9"/>
      <c r="Q4055" s="9"/>
      <c r="R4055" s="9"/>
      <c r="S4055" s="9"/>
      <c r="T4055" s="9"/>
      <c r="U4055" s="9"/>
      <c r="V4055" s="9"/>
      <c r="W4055" s="9"/>
      <c r="X4055" s="9"/>
      <c r="Y4055" s="9"/>
      <c r="Z4055" s="9"/>
      <c r="AA4055" s="9"/>
    </row>
    <row r="4056">
      <c r="A4056" s="9"/>
      <c r="B4056" s="9"/>
      <c r="C4056" s="9"/>
      <c r="D4056" s="9"/>
      <c r="E4056" s="9"/>
      <c r="F4056" s="9"/>
      <c r="G4056" s="10"/>
      <c r="H4056" s="9"/>
      <c r="I4056" s="15"/>
      <c r="J4056" s="9"/>
      <c r="K4056" s="9"/>
      <c r="L4056" s="9"/>
      <c r="M4056" s="9"/>
      <c r="N4056" s="9"/>
      <c r="O4056" s="9"/>
      <c r="P4056" s="9"/>
      <c r="Q4056" s="9"/>
      <c r="R4056" s="9"/>
      <c r="S4056" s="9"/>
      <c r="T4056" s="9"/>
      <c r="U4056" s="9"/>
      <c r="V4056" s="9"/>
      <c r="W4056" s="9"/>
      <c r="X4056" s="9"/>
      <c r="Y4056" s="9"/>
      <c r="Z4056" s="9"/>
      <c r="AA4056" s="9"/>
    </row>
    <row r="4057">
      <c r="A4057" s="9"/>
      <c r="B4057" s="9"/>
      <c r="C4057" s="9"/>
      <c r="D4057" s="9"/>
      <c r="E4057" s="9"/>
      <c r="F4057" s="9"/>
      <c r="G4057" s="10"/>
      <c r="H4057" s="9"/>
      <c r="I4057" s="15"/>
      <c r="J4057" s="9"/>
      <c r="K4057" s="9"/>
      <c r="L4057" s="9"/>
      <c r="M4057" s="9"/>
      <c r="N4057" s="9"/>
      <c r="O4057" s="9"/>
      <c r="P4057" s="9"/>
      <c r="Q4057" s="9"/>
      <c r="R4057" s="9"/>
      <c r="S4057" s="9"/>
      <c r="T4057" s="9"/>
      <c r="U4057" s="9"/>
      <c r="V4057" s="9"/>
      <c r="W4057" s="9"/>
      <c r="X4057" s="9"/>
      <c r="Y4057" s="9"/>
      <c r="Z4057" s="9"/>
      <c r="AA4057" s="9"/>
    </row>
    <row r="4058">
      <c r="A4058" s="9"/>
      <c r="B4058" s="9"/>
      <c r="C4058" s="9"/>
      <c r="D4058" s="9"/>
      <c r="E4058" s="9"/>
      <c r="F4058" s="9"/>
      <c r="G4058" s="10"/>
      <c r="H4058" s="9"/>
      <c r="I4058" s="15"/>
      <c r="J4058" s="9"/>
      <c r="K4058" s="9"/>
      <c r="L4058" s="9"/>
      <c r="M4058" s="9"/>
      <c r="N4058" s="9"/>
      <c r="O4058" s="9"/>
      <c r="P4058" s="9"/>
      <c r="Q4058" s="9"/>
      <c r="R4058" s="9"/>
      <c r="S4058" s="9"/>
      <c r="T4058" s="9"/>
      <c r="U4058" s="9"/>
      <c r="V4058" s="9"/>
      <c r="W4058" s="9"/>
      <c r="X4058" s="9"/>
      <c r="Y4058" s="9"/>
      <c r="Z4058" s="9"/>
      <c r="AA4058" s="9"/>
    </row>
    <row r="4059">
      <c r="A4059" s="9"/>
      <c r="B4059" s="9"/>
      <c r="C4059" s="9"/>
      <c r="D4059" s="9"/>
      <c r="E4059" s="9"/>
      <c r="F4059" s="9"/>
      <c r="G4059" s="10"/>
      <c r="H4059" s="9"/>
      <c r="I4059" s="15"/>
      <c r="J4059" s="9"/>
      <c r="K4059" s="9"/>
      <c r="L4059" s="9"/>
      <c r="M4059" s="9"/>
      <c r="N4059" s="9"/>
      <c r="O4059" s="9"/>
      <c r="P4059" s="9"/>
      <c r="Q4059" s="9"/>
      <c r="R4059" s="9"/>
      <c r="S4059" s="9"/>
      <c r="T4059" s="9"/>
      <c r="U4059" s="9"/>
      <c r="V4059" s="9"/>
      <c r="W4059" s="9"/>
      <c r="X4059" s="9"/>
      <c r="Y4059" s="9"/>
      <c r="Z4059" s="9"/>
      <c r="AA4059" s="9"/>
    </row>
    <row r="4060">
      <c r="A4060" s="9"/>
      <c r="B4060" s="9"/>
      <c r="C4060" s="9"/>
      <c r="D4060" s="9"/>
      <c r="E4060" s="9"/>
      <c r="F4060" s="9"/>
      <c r="G4060" s="10"/>
      <c r="H4060" s="9"/>
      <c r="I4060" s="15"/>
      <c r="J4060" s="9"/>
      <c r="K4060" s="9"/>
      <c r="L4060" s="9"/>
      <c r="M4060" s="9"/>
      <c r="N4060" s="9"/>
      <c r="O4060" s="9"/>
      <c r="P4060" s="9"/>
      <c r="Q4060" s="9"/>
      <c r="R4060" s="9"/>
      <c r="S4060" s="9"/>
      <c r="T4060" s="9"/>
      <c r="U4060" s="9"/>
      <c r="V4060" s="9"/>
      <c r="W4060" s="9"/>
      <c r="X4060" s="9"/>
      <c r="Y4060" s="9"/>
      <c r="Z4060" s="9"/>
      <c r="AA4060" s="9"/>
    </row>
    <row r="4061">
      <c r="A4061" s="9"/>
      <c r="B4061" s="9"/>
      <c r="C4061" s="9"/>
      <c r="D4061" s="9"/>
      <c r="E4061" s="9"/>
      <c r="F4061" s="9"/>
      <c r="G4061" s="10"/>
      <c r="H4061" s="9"/>
      <c r="I4061" s="15"/>
      <c r="J4061" s="9"/>
      <c r="K4061" s="9"/>
      <c r="L4061" s="9"/>
      <c r="M4061" s="9"/>
      <c r="N4061" s="9"/>
      <c r="O4061" s="9"/>
      <c r="P4061" s="9"/>
      <c r="Q4061" s="9"/>
      <c r="R4061" s="9"/>
      <c r="S4061" s="9"/>
      <c r="T4061" s="9"/>
      <c r="U4061" s="9"/>
      <c r="V4061" s="9"/>
      <c r="W4061" s="9"/>
      <c r="X4061" s="9"/>
      <c r="Y4061" s="9"/>
      <c r="Z4061" s="9"/>
      <c r="AA4061" s="9"/>
    </row>
    <row r="4062">
      <c r="A4062" s="9"/>
      <c r="B4062" s="9"/>
      <c r="C4062" s="9"/>
      <c r="D4062" s="9"/>
      <c r="E4062" s="9"/>
      <c r="F4062" s="9"/>
      <c r="G4062" s="10"/>
      <c r="H4062" s="9"/>
      <c r="I4062" s="15"/>
      <c r="J4062" s="9"/>
      <c r="K4062" s="9"/>
      <c r="L4062" s="9"/>
      <c r="M4062" s="9"/>
      <c r="N4062" s="9"/>
      <c r="O4062" s="9"/>
      <c r="P4062" s="9"/>
      <c r="Q4062" s="9"/>
      <c r="R4062" s="9"/>
      <c r="S4062" s="9"/>
      <c r="T4062" s="9"/>
      <c r="U4062" s="9"/>
      <c r="V4062" s="9"/>
      <c r="W4062" s="9"/>
      <c r="X4062" s="9"/>
      <c r="Y4062" s="9"/>
      <c r="Z4062" s="9"/>
      <c r="AA4062" s="9"/>
    </row>
    <row r="4063">
      <c r="A4063" s="9"/>
      <c r="B4063" s="9"/>
      <c r="C4063" s="9"/>
      <c r="D4063" s="9"/>
      <c r="E4063" s="9"/>
      <c r="F4063" s="9"/>
      <c r="G4063" s="10"/>
      <c r="H4063" s="9"/>
      <c r="I4063" s="15"/>
      <c r="J4063" s="9"/>
      <c r="K4063" s="9"/>
      <c r="L4063" s="9"/>
      <c r="M4063" s="9"/>
      <c r="N4063" s="9"/>
      <c r="O4063" s="9"/>
      <c r="P4063" s="9"/>
      <c r="Q4063" s="9"/>
      <c r="R4063" s="9"/>
      <c r="S4063" s="9"/>
      <c r="T4063" s="9"/>
      <c r="U4063" s="9"/>
      <c r="V4063" s="9"/>
      <c r="W4063" s="9"/>
      <c r="X4063" s="9"/>
      <c r="Y4063" s="9"/>
      <c r="Z4063" s="9"/>
      <c r="AA4063" s="9"/>
    </row>
    <row r="4064">
      <c r="A4064" s="9"/>
      <c r="B4064" s="9"/>
      <c r="C4064" s="9"/>
      <c r="D4064" s="9"/>
      <c r="E4064" s="9"/>
      <c r="F4064" s="9"/>
      <c r="G4064" s="10"/>
      <c r="H4064" s="9"/>
      <c r="I4064" s="15"/>
      <c r="J4064" s="9"/>
      <c r="K4064" s="9"/>
      <c r="L4064" s="9"/>
      <c r="M4064" s="9"/>
      <c r="N4064" s="9"/>
      <c r="O4064" s="9"/>
      <c r="P4064" s="9"/>
      <c r="Q4064" s="9"/>
      <c r="R4064" s="9"/>
      <c r="S4064" s="9"/>
      <c r="T4064" s="9"/>
      <c r="U4064" s="9"/>
      <c r="V4064" s="9"/>
      <c r="W4064" s="9"/>
      <c r="X4064" s="9"/>
      <c r="Y4064" s="9"/>
      <c r="Z4064" s="9"/>
      <c r="AA4064" s="9"/>
    </row>
    <row r="4065">
      <c r="A4065" s="9"/>
      <c r="B4065" s="9"/>
      <c r="C4065" s="9"/>
      <c r="D4065" s="9"/>
      <c r="E4065" s="9"/>
      <c r="F4065" s="9"/>
      <c r="G4065" s="10"/>
      <c r="H4065" s="9"/>
      <c r="I4065" s="15"/>
      <c r="J4065" s="9"/>
      <c r="K4065" s="9"/>
      <c r="L4065" s="9"/>
      <c r="M4065" s="9"/>
      <c r="N4065" s="9"/>
      <c r="O4065" s="9"/>
      <c r="P4065" s="9"/>
      <c r="Q4065" s="9"/>
      <c r="R4065" s="9"/>
      <c r="S4065" s="9"/>
      <c r="T4065" s="9"/>
      <c r="U4065" s="9"/>
      <c r="V4065" s="9"/>
      <c r="W4065" s="9"/>
      <c r="X4065" s="9"/>
      <c r="Y4065" s="9"/>
      <c r="Z4065" s="9"/>
      <c r="AA4065" s="9"/>
    </row>
    <row r="4066">
      <c r="A4066" s="9"/>
      <c r="B4066" s="9"/>
      <c r="C4066" s="9"/>
      <c r="D4066" s="9"/>
      <c r="E4066" s="9"/>
      <c r="F4066" s="9"/>
      <c r="G4066" s="10"/>
      <c r="H4066" s="9"/>
      <c r="I4066" s="15"/>
      <c r="J4066" s="9"/>
      <c r="K4066" s="9"/>
      <c r="L4066" s="9"/>
      <c r="M4066" s="9"/>
      <c r="N4066" s="9"/>
      <c r="O4066" s="9"/>
      <c r="P4066" s="9"/>
      <c r="Q4066" s="9"/>
      <c r="R4066" s="9"/>
      <c r="S4066" s="9"/>
      <c r="T4066" s="9"/>
      <c r="U4066" s="9"/>
      <c r="V4066" s="9"/>
      <c r="W4066" s="9"/>
      <c r="X4066" s="9"/>
      <c r="Y4066" s="9"/>
      <c r="Z4066" s="9"/>
      <c r="AA4066" s="9"/>
    </row>
    <row r="4067">
      <c r="A4067" s="9"/>
      <c r="B4067" s="9"/>
      <c r="C4067" s="9"/>
      <c r="D4067" s="9"/>
      <c r="E4067" s="9"/>
      <c r="F4067" s="9"/>
      <c r="G4067" s="10"/>
      <c r="H4067" s="9"/>
      <c r="I4067" s="15"/>
      <c r="J4067" s="9"/>
      <c r="K4067" s="9"/>
      <c r="L4067" s="9"/>
      <c r="M4067" s="9"/>
      <c r="N4067" s="9"/>
      <c r="O4067" s="9"/>
      <c r="P4067" s="9"/>
      <c r="Q4067" s="9"/>
      <c r="R4067" s="9"/>
      <c r="S4067" s="9"/>
      <c r="T4067" s="9"/>
      <c r="U4067" s="9"/>
      <c r="V4067" s="9"/>
      <c r="W4067" s="9"/>
      <c r="X4067" s="9"/>
      <c r="Y4067" s="9"/>
      <c r="Z4067" s="9"/>
      <c r="AA4067" s="9"/>
    </row>
    <row r="4068">
      <c r="A4068" s="9"/>
      <c r="B4068" s="9"/>
      <c r="C4068" s="9"/>
      <c r="D4068" s="9"/>
      <c r="E4068" s="9"/>
      <c r="F4068" s="9"/>
      <c r="G4068" s="10"/>
      <c r="H4068" s="9"/>
      <c r="I4068" s="15"/>
      <c r="J4068" s="9"/>
      <c r="K4068" s="9"/>
      <c r="L4068" s="9"/>
      <c r="M4068" s="9"/>
      <c r="N4068" s="9"/>
      <c r="O4068" s="9"/>
      <c r="P4068" s="9"/>
      <c r="Q4068" s="9"/>
      <c r="R4068" s="9"/>
      <c r="S4068" s="9"/>
      <c r="T4068" s="9"/>
      <c r="U4068" s="9"/>
      <c r="V4068" s="9"/>
      <c r="W4068" s="9"/>
      <c r="X4068" s="9"/>
      <c r="Y4068" s="9"/>
      <c r="Z4068" s="9"/>
      <c r="AA4068" s="9"/>
    </row>
    <row r="4069">
      <c r="A4069" s="9"/>
      <c r="B4069" s="9"/>
      <c r="C4069" s="9"/>
      <c r="D4069" s="9"/>
      <c r="E4069" s="9"/>
      <c r="F4069" s="9"/>
      <c r="G4069" s="10"/>
      <c r="H4069" s="9"/>
      <c r="I4069" s="15"/>
      <c r="J4069" s="9"/>
      <c r="K4069" s="9"/>
      <c r="L4069" s="9"/>
      <c r="M4069" s="9"/>
      <c r="N4069" s="9"/>
      <c r="O4069" s="9"/>
      <c r="P4069" s="9"/>
      <c r="Q4069" s="9"/>
      <c r="R4069" s="9"/>
      <c r="S4069" s="9"/>
      <c r="T4069" s="9"/>
      <c r="U4069" s="9"/>
      <c r="V4069" s="9"/>
      <c r="W4069" s="9"/>
      <c r="X4069" s="9"/>
      <c r="Y4069" s="9"/>
      <c r="Z4069" s="9"/>
      <c r="AA4069" s="9"/>
    </row>
    <row r="4070">
      <c r="A4070" s="9"/>
      <c r="B4070" s="9"/>
      <c r="C4070" s="9"/>
      <c r="D4070" s="9"/>
      <c r="E4070" s="9"/>
      <c r="F4070" s="9"/>
      <c r="G4070" s="10"/>
      <c r="H4070" s="9"/>
      <c r="I4070" s="15"/>
      <c r="J4070" s="9"/>
      <c r="K4070" s="9"/>
      <c r="L4070" s="9"/>
      <c r="M4070" s="9"/>
      <c r="N4070" s="9"/>
      <c r="O4070" s="9"/>
      <c r="P4070" s="9"/>
      <c r="Q4070" s="9"/>
      <c r="R4070" s="9"/>
      <c r="S4070" s="9"/>
      <c r="T4070" s="9"/>
      <c r="U4070" s="9"/>
      <c r="V4070" s="9"/>
      <c r="W4070" s="9"/>
      <c r="X4070" s="9"/>
      <c r="Y4070" s="9"/>
      <c r="Z4070" s="9"/>
      <c r="AA4070" s="9"/>
    </row>
    <row r="4071">
      <c r="A4071" s="9"/>
      <c r="B4071" s="9"/>
      <c r="C4071" s="9"/>
      <c r="D4071" s="9"/>
      <c r="E4071" s="9"/>
      <c r="F4071" s="9"/>
      <c r="G4071" s="10"/>
      <c r="H4071" s="9"/>
      <c r="I4071" s="15"/>
      <c r="J4071" s="9"/>
      <c r="K4071" s="9"/>
      <c r="L4071" s="9"/>
      <c r="M4071" s="9"/>
      <c r="N4071" s="9"/>
      <c r="O4071" s="9"/>
      <c r="P4071" s="9"/>
      <c r="Q4071" s="9"/>
      <c r="R4071" s="9"/>
      <c r="S4071" s="9"/>
      <c r="T4071" s="9"/>
      <c r="U4071" s="9"/>
      <c r="V4071" s="9"/>
      <c r="W4071" s="9"/>
      <c r="X4071" s="9"/>
      <c r="Y4071" s="9"/>
      <c r="Z4071" s="9"/>
      <c r="AA4071" s="9"/>
    </row>
    <row r="4072">
      <c r="A4072" s="9"/>
      <c r="B4072" s="9"/>
      <c r="C4072" s="9"/>
      <c r="D4072" s="9"/>
      <c r="E4072" s="9"/>
      <c r="F4072" s="9"/>
      <c r="G4072" s="10"/>
      <c r="H4072" s="9"/>
      <c r="I4072" s="15"/>
      <c r="J4072" s="9"/>
      <c r="K4072" s="9"/>
      <c r="L4072" s="9"/>
      <c r="M4072" s="9"/>
      <c r="N4072" s="9"/>
      <c r="O4072" s="9"/>
      <c r="P4072" s="9"/>
      <c r="Q4072" s="9"/>
      <c r="R4072" s="9"/>
      <c r="S4072" s="9"/>
      <c r="T4072" s="9"/>
      <c r="U4072" s="9"/>
      <c r="V4072" s="9"/>
      <c r="W4072" s="9"/>
      <c r="X4072" s="9"/>
      <c r="Y4072" s="9"/>
      <c r="Z4072" s="9"/>
      <c r="AA4072" s="9"/>
    </row>
    <row r="4073">
      <c r="A4073" s="9"/>
      <c r="B4073" s="9"/>
      <c r="C4073" s="9"/>
      <c r="D4073" s="9"/>
      <c r="E4073" s="9"/>
      <c r="F4073" s="9"/>
      <c r="G4073" s="10"/>
      <c r="H4073" s="9"/>
      <c r="I4073" s="15"/>
      <c r="J4073" s="9"/>
      <c r="K4073" s="9"/>
      <c r="L4073" s="9"/>
      <c r="M4073" s="9"/>
      <c r="N4073" s="9"/>
      <c r="O4073" s="9"/>
      <c r="P4073" s="9"/>
      <c r="Q4073" s="9"/>
      <c r="R4073" s="9"/>
      <c r="S4073" s="9"/>
      <c r="T4073" s="9"/>
      <c r="U4073" s="9"/>
      <c r="V4073" s="9"/>
      <c r="W4073" s="9"/>
      <c r="X4073" s="9"/>
      <c r="Y4073" s="9"/>
      <c r="Z4073" s="9"/>
      <c r="AA4073" s="9"/>
    </row>
    <row r="4074">
      <c r="A4074" s="9"/>
      <c r="B4074" s="9"/>
      <c r="C4074" s="9"/>
      <c r="D4074" s="9"/>
      <c r="E4074" s="9"/>
      <c r="F4074" s="9"/>
      <c r="G4074" s="10"/>
      <c r="H4074" s="9"/>
      <c r="I4074" s="15"/>
      <c r="J4074" s="9"/>
      <c r="K4074" s="9"/>
      <c r="L4074" s="9"/>
      <c r="M4074" s="9"/>
      <c r="N4074" s="9"/>
      <c r="O4074" s="9"/>
      <c r="P4074" s="9"/>
      <c r="Q4074" s="9"/>
      <c r="R4074" s="9"/>
      <c r="S4074" s="9"/>
      <c r="T4074" s="9"/>
      <c r="U4074" s="9"/>
      <c r="V4074" s="9"/>
      <c r="W4074" s="9"/>
      <c r="X4074" s="9"/>
      <c r="Y4074" s="9"/>
      <c r="Z4074" s="9"/>
      <c r="AA4074" s="9"/>
    </row>
    <row r="4075">
      <c r="A4075" s="9"/>
      <c r="B4075" s="9"/>
      <c r="C4075" s="9"/>
      <c r="D4075" s="9"/>
      <c r="E4075" s="9"/>
      <c r="F4075" s="9"/>
      <c r="G4075" s="10"/>
      <c r="H4075" s="9"/>
      <c r="I4075" s="15"/>
      <c r="J4075" s="9"/>
      <c r="K4075" s="9"/>
      <c r="L4075" s="9"/>
      <c r="M4075" s="9"/>
      <c r="N4075" s="9"/>
      <c r="O4075" s="9"/>
      <c r="P4075" s="9"/>
      <c r="Q4075" s="9"/>
      <c r="R4075" s="9"/>
      <c r="S4075" s="9"/>
      <c r="T4075" s="9"/>
      <c r="U4075" s="9"/>
      <c r="V4075" s="9"/>
      <c r="W4075" s="9"/>
      <c r="X4075" s="9"/>
      <c r="Y4075" s="9"/>
      <c r="Z4075" s="9"/>
      <c r="AA4075" s="9"/>
    </row>
    <row r="4076">
      <c r="A4076" s="9"/>
      <c r="B4076" s="9"/>
      <c r="C4076" s="9"/>
      <c r="D4076" s="9"/>
      <c r="E4076" s="9"/>
      <c r="F4076" s="9"/>
      <c r="G4076" s="10"/>
      <c r="H4076" s="9"/>
      <c r="I4076" s="15"/>
      <c r="J4076" s="9"/>
      <c r="K4076" s="9"/>
      <c r="L4076" s="9"/>
      <c r="M4076" s="9"/>
      <c r="N4076" s="9"/>
      <c r="O4076" s="9"/>
      <c r="P4076" s="9"/>
      <c r="Q4076" s="9"/>
      <c r="R4076" s="9"/>
      <c r="S4076" s="9"/>
      <c r="T4076" s="9"/>
      <c r="U4076" s="9"/>
      <c r="V4076" s="9"/>
      <c r="W4076" s="9"/>
      <c r="X4076" s="9"/>
      <c r="Y4076" s="9"/>
      <c r="Z4076" s="9"/>
      <c r="AA4076" s="9"/>
    </row>
    <row r="4077">
      <c r="A4077" s="9"/>
      <c r="B4077" s="9"/>
      <c r="C4077" s="9"/>
      <c r="D4077" s="9"/>
      <c r="E4077" s="9"/>
      <c r="F4077" s="9"/>
      <c r="G4077" s="10"/>
      <c r="H4077" s="9"/>
      <c r="I4077" s="15"/>
      <c r="J4077" s="9"/>
      <c r="K4077" s="9"/>
      <c r="L4077" s="9"/>
      <c r="M4077" s="9"/>
      <c r="N4077" s="9"/>
      <c r="O4077" s="9"/>
      <c r="P4077" s="9"/>
      <c r="Q4077" s="9"/>
      <c r="R4077" s="9"/>
      <c r="S4077" s="9"/>
      <c r="T4077" s="9"/>
      <c r="U4077" s="9"/>
      <c r="V4077" s="9"/>
      <c r="W4077" s="9"/>
      <c r="X4077" s="9"/>
      <c r="Y4077" s="9"/>
      <c r="Z4077" s="9"/>
      <c r="AA4077" s="9"/>
    </row>
    <row r="4078">
      <c r="A4078" s="9"/>
      <c r="B4078" s="9"/>
      <c r="C4078" s="9"/>
      <c r="D4078" s="9"/>
      <c r="E4078" s="9"/>
      <c r="F4078" s="9"/>
      <c r="G4078" s="10"/>
      <c r="H4078" s="9"/>
      <c r="I4078" s="15"/>
      <c r="J4078" s="9"/>
      <c r="K4078" s="9"/>
      <c r="L4078" s="9"/>
      <c r="M4078" s="9"/>
      <c r="N4078" s="9"/>
      <c r="O4078" s="9"/>
      <c r="P4078" s="9"/>
      <c r="Q4078" s="9"/>
      <c r="R4078" s="9"/>
      <c r="S4078" s="9"/>
      <c r="T4078" s="9"/>
      <c r="U4078" s="9"/>
      <c r="V4078" s="9"/>
      <c r="W4078" s="9"/>
      <c r="X4078" s="9"/>
      <c r="Y4078" s="9"/>
      <c r="Z4078" s="9"/>
      <c r="AA4078" s="9"/>
    </row>
    <row r="4079">
      <c r="A4079" s="9"/>
      <c r="B4079" s="9"/>
      <c r="C4079" s="9"/>
      <c r="D4079" s="9"/>
      <c r="E4079" s="9"/>
      <c r="F4079" s="9"/>
      <c r="G4079" s="10"/>
      <c r="H4079" s="9"/>
      <c r="I4079" s="15"/>
      <c r="J4079" s="9"/>
      <c r="K4079" s="9"/>
      <c r="L4079" s="9"/>
      <c r="M4079" s="9"/>
      <c r="N4079" s="9"/>
      <c r="O4079" s="9"/>
      <c r="P4079" s="9"/>
      <c r="Q4079" s="9"/>
      <c r="R4079" s="9"/>
      <c r="S4079" s="9"/>
      <c r="T4079" s="9"/>
      <c r="U4079" s="9"/>
      <c r="V4079" s="9"/>
      <c r="W4079" s="9"/>
      <c r="X4079" s="9"/>
      <c r="Y4079" s="9"/>
      <c r="Z4079" s="9"/>
      <c r="AA4079" s="9"/>
    </row>
    <row r="4080">
      <c r="A4080" s="9"/>
      <c r="B4080" s="9"/>
      <c r="C4080" s="9"/>
      <c r="D4080" s="9"/>
      <c r="E4080" s="9"/>
      <c r="F4080" s="9"/>
      <c r="G4080" s="10"/>
      <c r="H4080" s="9"/>
      <c r="I4080" s="15"/>
      <c r="J4080" s="9"/>
      <c r="K4080" s="9"/>
      <c r="L4080" s="9"/>
      <c r="M4080" s="9"/>
      <c r="N4080" s="9"/>
      <c r="O4080" s="9"/>
      <c r="P4080" s="9"/>
      <c r="Q4080" s="9"/>
      <c r="R4080" s="9"/>
      <c r="S4080" s="9"/>
      <c r="T4080" s="9"/>
      <c r="U4080" s="9"/>
      <c r="V4080" s="9"/>
      <c r="W4080" s="9"/>
      <c r="X4080" s="9"/>
      <c r="Y4080" s="9"/>
      <c r="Z4080" s="9"/>
      <c r="AA4080" s="9"/>
    </row>
    <row r="4081">
      <c r="A4081" s="9"/>
      <c r="B4081" s="9"/>
      <c r="C4081" s="9"/>
      <c r="D4081" s="9"/>
      <c r="E4081" s="9"/>
      <c r="F4081" s="9"/>
      <c r="G4081" s="10"/>
      <c r="H4081" s="9"/>
      <c r="I4081" s="15"/>
      <c r="J4081" s="9"/>
      <c r="K4081" s="9"/>
      <c r="L4081" s="9"/>
      <c r="M4081" s="9"/>
      <c r="N4081" s="9"/>
      <c r="O4081" s="9"/>
      <c r="P4081" s="9"/>
      <c r="Q4081" s="9"/>
      <c r="R4081" s="9"/>
      <c r="S4081" s="9"/>
      <c r="T4081" s="9"/>
      <c r="U4081" s="9"/>
      <c r="V4081" s="9"/>
      <c r="W4081" s="9"/>
      <c r="X4081" s="9"/>
      <c r="Y4081" s="9"/>
      <c r="Z4081" s="9"/>
      <c r="AA4081" s="9"/>
    </row>
    <row r="4082">
      <c r="A4082" s="9"/>
      <c r="B4082" s="9"/>
      <c r="C4082" s="9"/>
      <c r="D4082" s="9"/>
      <c r="E4082" s="9"/>
      <c r="F4082" s="9"/>
      <c r="G4082" s="10"/>
      <c r="H4082" s="9"/>
      <c r="I4082" s="15"/>
      <c r="J4082" s="9"/>
      <c r="K4082" s="9"/>
      <c r="L4082" s="9"/>
      <c r="M4082" s="9"/>
      <c r="N4082" s="9"/>
      <c r="O4082" s="9"/>
      <c r="P4082" s="9"/>
      <c r="Q4082" s="9"/>
      <c r="R4082" s="9"/>
      <c r="S4082" s="9"/>
      <c r="T4082" s="9"/>
      <c r="U4082" s="9"/>
      <c r="V4082" s="9"/>
      <c r="W4082" s="9"/>
      <c r="X4082" s="9"/>
      <c r="Y4082" s="9"/>
      <c r="Z4082" s="9"/>
      <c r="AA4082" s="9"/>
    </row>
    <row r="4083">
      <c r="A4083" s="9"/>
      <c r="B4083" s="9"/>
      <c r="C4083" s="9"/>
      <c r="D4083" s="9"/>
      <c r="E4083" s="9"/>
      <c r="F4083" s="9"/>
      <c r="G4083" s="10"/>
      <c r="H4083" s="9"/>
      <c r="I4083" s="15"/>
      <c r="J4083" s="9"/>
      <c r="K4083" s="9"/>
      <c r="L4083" s="9"/>
      <c r="M4083" s="9"/>
      <c r="N4083" s="9"/>
      <c r="O4083" s="9"/>
      <c r="P4083" s="9"/>
      <c r="Q4083" s="9"/>
      <c r="R4083" s="9"/>
      <c r="S4083" s="9"/>
      <c r="T4083" s="9"/>
      <c r="U4083" s="9"/>
      <c r="V4083" s="9"/>
      <c r="W4083" s="9"/>
      <c r="X4083" s="9"/>
      <c r="Y4083" s="9"/>
      <c r="Z4083" s="9"/>
      <c r="AA4083" s="9"/>
    </row>
    <row r="4084">
      <c r="A4084" s="9"/>
      <c r="B4084" s="9"/>
      <c r="C4084" s="9"/>
      <c r="D4084" s="9"/>
      <c r="E4084" s="9"/>
      <c r="F4084" s="9"/>
      <c r="G4084" s="10"/>
      <c r="H4084" s="9"/>
      <c r="I4084" s="15"/>
      <c r="J4084" s="9"/>
      <c r="K4084" s="9"/>
      <c r="L4084" s="9"/>
      <c r="M4084" s="9"/>
      <c r="N4084" s="9"/>
      <c r="O4084" s="9"/>
      <c r="P4084" s="9"/>
      <c r="Q4084" s="9"/>
      <c r="R4084" s="9"/>
      <c r="S4084" s="9"/>
      <c r="T4084" s="9"/>
      <c r="U4084" s="9"/>
      <c r="V4084" s="9"/>
      <c r="W4084" s="9"/>
      <c r="X4084" s="9"/>
      <c r="Y4084" s="9"/>
      <c r="Z4084" s="9"/>
      <c r="AA4084" s="9"/>
    </row>
    <row r="4085">
      <c r="A4085" s="9"/>
      <c r="B4085" s="9"/>
      <c r="C4085" s="9"/>
      <c r="D4085" s="9"/>
      <c r="E4085" s="9"/>
      <c r="F4085" s="9"/>
      <c r="G4085" s="10"/>
      <c r="H4085" s="9"/>
      <c r="I4085" s="15"/>
      <c r="J4085" s="9"/>
      <c r="K4085" s="9"/>
      <c r="L4085" s="9"/>
      <c r="M4085" s="9"/>
      <c r="N4085" s="9"/>
      <c r="O4085" s="9"/>
      <c r="P4085" s="9"/>
      <c r="Q4085" s="9"/>
      <c r="R4085" s="9"/>
      <c r="S4085" s="9"/>
      <c r="T4085" s="9"/>
      <c r="U4085" s="9"/>
      <c r="V4085" s="9"/>
      <c r="W4085" s="9"/>
      <c r="X4085" s="9"/>
      <c r="Y4085" s="9"/>
      <c r="Z4085" s="9"/>
      <c r="AA4085" s="9"/>
    </row>
    <row r="4086">
      <c r="A4086" s="9"/>
      <c r="B4086" s="9"/>
      <c r="C4086" s="9"/>
      <c r="D4086" s="9"/>
      <c r="E4086" s="9"/>
      <c r="F4086" s="9"/>
      <c r="G4086" s="10"/>
      <c r="H4086" s="9"/>
      <c r="I4086" s="15"/>
      <c r="J4086" s="9"/>
      <c r="K4086" s="9"/>
      <c r="L4086" s="9"/>
      <c r="M4086" s="9"/>
      <c r="N4086" s="9"/>
      <c r="O4086" s="9"/>
      <c r="P4086" s="9"/>
      <c r="Q4086" s="9"/>
      <c r="R4086" s="9"/>
      <c r="S4086" s="9"/>
      <c r="T4086" s="9"/>
      <c r="U4086" s="9"/>
      <c r="V4086" s="9"/>
      <c r="W4086" s="9"/>
      <c r="X4086" s="9"/>
      <c r="Y4086" s="9"/>
      <c r="Z4086" s="9"/>
      <c r="AA4086" s="9"/>
    </row>
    <row r="4087">
      <c r="A4087" s="9"/>
      <c r="B4087" s="9"/>
      <c r="C4087" s="9"/>
      <c r="D4087" s="9"/>
      <c r="E4087" s="9"/>
      <c r="F4087" s="9"/>
      <c r="G4087" s="10"/>
      <c r="H4087" s="9"/>
      <c r="I4087" s="15"/>
      <c r="J4087" s="9"/>
      <c r="K4087" s="9"/>
      <c r="L4087" s="9"/>
      <c r="M4087" s="9"/>
      <c r="N4087" s="9"/>
      <c r="O4087" s="9"/>
      <c r="P4087" s="9"/>
      <c r="Q4087" s="9"/>
      <c r="R4087" s="9"/>
      <c r="S4087" s="9"/>
      <c r="T4087" s="9"/>
      <c r="U4087" s="9"/>
      <c r="V4087" s="9"/>
      <c r="W4087" s="9"/>
      <c r="X4087" s="9"/>
      <c r="Y4087" s="9"/>
      <c r="Z4087" s="9"/>
      <c r="AA4087" s="9"/>
    </row>
    <row r="4088">
      <c r="A4088" s="9"/>
      <c r="B4088" s="9"/>
      <c r="C4088" s="9"/>
      <c r="D4088" s="9"/>
      <c r="E4088" s="9"/>
      <c r="F4088" s="9"/>
      <c r="G4088" s="10"/>
      <c r="H4088" s="9"/>
      <c r="I4088" s="15"/>
      <c r="J4088" s="9"/>
      <c r="K4088" s="9"/>
      <c r="L4088" s="9"/>
      <c r="M4088" s="9"/>
      <c r="N4088" s="9"/>
      <c r="O4088" s="9"/>
      <c r="P4088" s="9"/>
      <c r="Q4088" s="9"/>
      <c r="R4088" s="9"/>
      <c r="S4088" s="9"/>
      <c r="T4088" s="9"/>
      <c r="U4088" s="9"/>
      <c r="V4088" s="9"/>
      <c r="W4088" s="9"/>
      <c r="X4088" s="9"/>
      <c r="Y4088" s="9"/>
      <c r="Z4088" s="9"/>
      <c r="AA4088" s="9"/>
    </row>
    <row r="4089">
      <c r="A4089" s="9"/>
      <c r="B4089" s="9"/>
      <c r="C4089" s="9"/>
      <c r="D4089" s="9"/>
      <c r="E4089" s="9"/>
      <c r="F4089" s="9"/>
      <c r="G4089" s="10"/>
      <c r="H4089" s="9"/>
      <c r="I4089" s="15"/>
      <c r="J4089" s="9"/>
      <c r="K4089" s="9"/>
      <c r="L4089" s="9"/>
      <c r="M4089" s="9"/>
      <c r="N4089" s="9"/>
      <c r="O4089" s="9"/>
      <c r="P4089" s="9"/>
      <c r="Q4089" s="9"/>
      <c r="R4089" s="9"/>
      <c r="S4089" s="9"/>
      <c r="T4089" s="9"/>
      <c r="U4089" s="9"/>
      <c r="V4089" s="9"/>
      <c r="W4089" s="9"/>
      <c r="X4089" s="9"/>
      <c r="Y4089" s="9"/>
      <c r="Z4089" s="9"/>
      <c r="AA4089" s="9"/>
    </row>
    <row r="4090">
      <c r="A4090" s="9"/>
      <c r="B4090" s="9"/>
      <c r="C4090" s="9"/>
      <c r="D4090" s="9"/>
      <c r="E4090" s="9"/>
      <c r="F4090" s="9"/>
      <c r="G4090" s="10"/>
      <c r="H4090" s="9"/>
      <c r="I4090" s="15"/>
      <c r="J4090" s="9"/>
      <c r="K4090" s="9"/>
      <c r="L4090" s="9"/>
      <c r="M4090" s="9"/>
      <c r="N4090" s="9"/>
      <c r="O4090" s="9"/>
      <c r="P4090" s="9"/>
      <c r="Q4090" s="9"/>
      <c r="R4090" s="9"/>
      <c r="S4090" s="9"/>
      <c r="T4090" s="9"/>
      <c r="U4090" s="9"/>
      <c r="V4090" s="9"/>
      <c r="W4090" s="9"/>
      <c r="X4090" s="9"/>
      <c r="Y4090" s="9"/>
      <c r="Z4090" s="9"/>
      <c r="AA4090" s="9"/>
    </row>
    <row r="4091">
      <c r="A4091" s="9"/>
      <c r="B4091" s="9"/>
      <c r="C4091" s="9"/>
      <c r="D4091" s="9"/>
      <c r="E4091" s="9"/>
      <c r="F4091" s="9"/>
      <c r="G4091" s="10"/>
      <c r="H4091" s="9"/>
      <c r="I4091" s="15"/>
      <c r="J4091" s="9"/>
      <c r="K4091" s="9"/>
      <c r="L4091" s="9"/>
      <c r="M4091" s="9"/>
      <c r="N4091" s="9"/>
      <c r="O4091" s="9"/>
      <c r="P4091" s="9"/>
      <c r="Q4091" s="9"/>
      <c r="R4091" s="9"/>
      <c r="S4091" s="9"/>
      <c r="T4091" s="9"/>
      <c r="U4091" s="9"/>
      <c r="V4091" s="9"/>
      <c r="W4091" s="9"/>
      <c r="X4091" s="9"/>
      <c r="Y4091" s="9"/>
      <c r="Z4091" s="9"/>
      <c r="AA4091" s="9"/>
    </row>
    <row r="4092">
      <c r="A4092" s="9"/>
      <c r="B4092" s="9"/>
      <c r="C4092" s="9"/>
      <c r="D4092" s="9"/>
      <c r="E4092" s="9"/>
      <c r="F4092" s="9"/>
      <c r="G4092" s="10"/>
      <c r="H4092" s="9"/>
      <c r="I4092" s="15"/>
      <c r="J4092" s="9"/>
      <c r="K4092" s="9"/>
      <c r="L4092" s="9"/>
      <c r="M4092" s="9"/>
      <c r="N4092" s="9"/>
      <c r="O4092" s="9"/>
      <c r="P4092" s="9"/>
      <c r="Q4092" s="9"/>
      <c r="R4092" s="9"/>
      <c r="S4092" s="9"/>
      <c r="T4092" s="9"/>
      <c r="U4092" s="9"/>
      <c r="V4092" s="9"/>
      <c r="W4092" s="9"/>
      <c r="X4092" s="9"/>
      <c r="Y4092" s="9"/>
      <c r="Z4092" s="9"/>
      <c r="AA4092" s="9"/>
    </row>
    <row r="4093">
      <c r="A4093" s="9"/>
      <c r="B4093" s="9"/>
      <c r="C4093" s="9"/>
      <c r="D4093" s="9"/>
      <c r="E4093" s="9"/>
      <c r="F4093" s="9"/>
      <c r="G4093" s="10"/>
      <c r="H4093" s="9"/>
      <c r="I4093" s="15"/>
      <c r="J4093" s="9"/>
      <c r="K4093" s="9"/>
      <c r="L4093" s="9"/>
      <c r="M4093" s="9"/>
      <c r="N4093" s="9"/>
      <c r="O4093" s="9"/>
      <c r="P4093" s="9"/>
      <c r="Q4093" s="9"/>
      <c r="R4093" s="9"/>
      <c r="S4093" s="9"/>
      <c r="T4093" s="9"/>
      <c r="U4093" s="9"/>
      <c r="V4093" s="9"/>
      <c r="W4093" s="9"/>
      <c r="X4093" s="9"/>
      <c r="Y4093" s="9"/>
      <c r="Z4093" s="9"/>
      <c r="AA4093" s="9"/>
    </row>
    <row r="4094">
      <c r="A4094" s="9"/>
      <c r="B4094" s="9"/>
      <c r="C4094" s="9"/>
      <c r="D4094" s="9"/>
      <c r="E4094" s="9"/>
      <c r="F4094" s="9"/>
      <c r="G4094" s="10"/>
      <c r="H4094" s="9"/>
      <c r="I4094" s="15"/>
      <c r="J4094" s="9"/>
      <c r="K4094" s="9"/>
      <c r="L4094" s="9"/>
      <c r="M4094" s="9"/>
      <c r="N4094" s="9"/>
      <c r="O4094" s="9"/>
      <c r="P4094" s="9"/>
      <c r="Q4094" s="9"/>
      <c r="R4094" s="9"/>
      <c r="S4094" s="9"/>
      <c r="T4094" s="9"/>
      <c r="U4094" s="9"/>
      <c r="V4094" s="9"/>
      <c r="W4094" s="9"/>
      <c r="X4094" s="9"/>
      <c r="Y4094" s="9"/>
      <c r="Z4094" s="9"/>
      <c r="AA4094" s="9"/>
    </row>
    <row r="4095">
      <c r="A4095" s="9"/>
      <c r="B4095" s="9"/>
      <c r="C4095" s="9"/>
      <c r="D4095" s="9"/>
      <c r="E4095" s="9"/>
      <c r="F4095" s="9"/>
      <c r="G4095" s="10"/>
      <c r="H4095" s="9"/>
      <c r="I4095" s="15"/>
      <c r="J4095" s="9"/>
      <c r="K4095" s="9"/>
      <c r="L4095" s="9"/>
      <c r="M4095" s="9"/>
      <c r="N4095" s="9"/>
      <c r="O4095" s="9"/>
      <c r="P4095" s="9"/>
      <c r="Q4095" s="9"/>
      <c r="R4095" s="9"/>
      <c r="S4095" s="9"/>
      <c r="T4095" s="9"/>
      <c r="U4095" s="9"/>
      <c r="V4095" s="9"/>
      <c r="W4095" s="9"/>
      <c r="X4095" s="9"/>
      <c r="Y4095" s="9"/>
      <c r="Z4095" s="9"/>
      <c r="AA4095" s="9"/>
    </row>
    <row r="4096">
      <c r="A4096" s="9"/>
      <c r="B4096" s="9"/>
      <c r="C4096" s="9"/>
      <c r="D4096" s="9"/>
      <c r="E4096" s="9"/>
      <c r="F4096" s="9"/>
      <c r="G4096" s="10"/>
      <c r="H4096" s="9"/>
      <c r="I4096" s="15"/>
      <c r="J4096" s="9"/>
      <c r="K4096" s="9"/>
      <c r="L4096" s="9"/>
      <c r="M4096" s="9"/>
      <c r="N4096" s="9"/>
      <c r="O4096" s="9"/>
      <c r="P4096" s="9"/>
      <c r="Q4096" s="9"/>
      <c r="R4096" s="9"/>
      <c r="S4096" s="9"/>
      <c r="T4096" s="9"/>
      <c r="U4096" s="9"/>
      <c r="V4096" s="9"/>
      <c r="W4096" s="9"/>
      <c r="X4096" s="9"/>
      <c r="Y4096" s="9"/>
      <c r="Z4096" s="9"/>
      <c r="AA4096" s="9"/>
    </row>
    <row r="4097">
      <c r="A4097" s="9"/>
      <c r="B4097" s="9"/>
      <c r="C4097" s="9"/>
      <c r="D4097" s="9"/>
      <c r="E4097" s="9"/>
      <c r="F4097" s="9"/>
      <c r="G4097" s="10"/>
      <c r="H4097" s="9"/>
      <c r="I4097" s="15"/>
      <c r="J4097" s="9"/>
      <c r="K4097" s="9"/>
      <c r="L4097" s="9"/>
      <c r="M4097" s="9"/>
      <c r="N4097" s="9"/>
      <c r="O4097" s="9"/>
      <c r="P4097" s="9"/>
      <c r="Q4097" s="9"/>
      <c r="R4097" s="9"/>
      <c r="S4097" s="9"/>
      <c r="T4097" s="9"/>
      <c r="U4097" s="9"/>
      <c r="V4097" s="9"/>
      <c r="W4097" s="9"/>
      <c r="X4097" s="9"/>
      <c r="Y4097" s="9"/>
      <c r="Z4097" s="9"/>
      <c r="AA4097" s="9"/>
    </row>
    <row r="4098">
      <c r="A4098" s="9"/>
      <c r="B4098" s="9"/>
      <c r="C4098" s="9"/>
      <c r="D4098" s="9"/>
      <c r="E4098" s="9"/>
      <c r="F4098" s="9"/>
      <c r="G4098" s="10"/>
      <c r="H4098" s="9"/>
      <c r="I4098" s="15"/>
      <c r="J4098" s="9"/>
      <c r="K4098" s="9"/>
      <c r="L4098" s="9"/>
      <c r="M4098" s="9"/>
      <c r="N4098" s="9"/>
      <c r="O4098" s="9"/>
      <c r="P4098" s="9"/>
      <c r="Q4098" s="9"/>
      <c r="R4098" s="9"/>
      <c r="S4098" s="9"/>
      <c r="T4098" s="9"/>
      <c r="U4098" s="9"/>
      <c r="V4098" s="9"/>
      <c r="W4098" s="9"/>
      <c r="X4098" s="9"/>
      <c r="Y4098" s="9"/>
      <c r="Z4098" s="9"/>
      <c r="AA4098" s="9"/>
    </row>
    <row r="4099">
      <c r="A4099" s="9"/>
      <c r="B4099" s="9"/>
      <c r="C4099" s="9"/>
      <c r="D4099" s="9"/>
      <c r="E4099" s="9"/>
      <c r="F4099" s="9"/>
      <c r="G4099" s="10"/>
      <c r="H4099" s="9"/>
      <c r="I4099" s="15"/>
      <c r="J4099" s="9"/>
      <c r="K4099" s="9"/>
      <c r="L4099" s="9"/>
      <c r="M4099" s="9"/>
      <c r="N4099" s="9"/>
      <c r="O4099" s="9"/>
      <c r="P4099" s="9"/>
      <c r="Q4099" s="9"/>
      <c r="R4099" s="9"/>
      <c r="S4099" s="9"/>
      <c r="T4099" s="9"/>
      <c r="U4099" s="9"/>
      <c r="V4099" s="9"/>
      <c r="W4099" s="9"/>
      <c r="X4099" s="9"/>
      <c r="Y4099" s="9"/>
      <c r="Z4099" s="9"/>
      <c r="AA4099" s="9"/>
    </row>
    <row r="4100">
      <c r="A4100" s="9"/>
      <c r="B4100" s="9"/>
      <c r="C4100" s="9"/>
      <c r="D4100" s="9"/>
      <c r="E4100" s="9"/>
      <c r="F4100" s="9"/>
      <c r="G4100" s="10"/>
      <c r="H4100" s="9"/>
      <c r="I4100" s="15"/>
      <c r="J4100" s="9"/>
      <c r="K4100" s="9"/>
      <c r="L4100" s="9"/>
      <c r="M4100" s="9"/>
      <c r="N4100" s="9"/>
      <c r="O4100" s="9"/>
      <c r="P4100" s="9"/>
      <c r="Q4100" s="9"/>
      <c r="R4100" s="9"/>
      <c r="S4100" s="9"/>
      <c r="T4100" s="9"/>
      <c r="U4100" s="9"/>
      <c r="V4100" s="9"/>
      <c r="W4100" s="9"/>
      <c r="X4100" s="9"/>
      <c r="Y4100" s="9"/>
      <c r="Z4100" s="9"/>
      <c r="AA4100" s="9"/>
    </row>
    <row r="4101">
      <c r="A4101" s="9"/>
      <c r="B4101" s="9"/>
      <c r="C4101" s="9"/>
      <c r="D4101" s="9"/>
      <c r="E4101" s="9"/>
      <c r="F4101" s="9"/>
      <c r="G4101" s="10"/>
      <c r="H4101" s="9"/>
      <c r="I4101" s="15"/>
      <c r="J4101" s="9"/>
      <c r="K4101" s="9"/>
      <c r="L4101" s="9"/>
      <c r="M4101" s="9"/>
      <c r="N4101" s="9"/>
      <c r="O4101" s="9"/>
      <c r="P4101" s="9"/>
      <c r="Q4101" s="9"/>
      <c r="R4101" s="9"/>
      <c r="S4101" s="9"/>
      <c r="T4101" s="9"/>
      <c r="U4101" s="9"/>
      <c r="V4101" s="9"/>
      <c r="W4101" s="9"/>
      <c r="X4101" s="9"/>
      <c r="Y4101" s="9"/>
      <c r="Z4101" s="9"/>
      <c r="AA4101" s="9"/>
    </row>
    <row r="4102">
      <c r="A4102" s="9"/>
      <c r="B4102" s="9"/>
      <c r="C4102" s="9"/>
      <c r="D4102" s="9"/>
      <c r="E4102" s="9"/>
      <c r="F4102" s="9"/>
      <c r="G4102" s="10"/>
      <c r="H4102" s="9"/>
      <c r="I4102" s="15"/>
      <c r="J4102" s="9"/>
      <c r="K4102" s="9"/>
      <c r="L4102" s="9"/>
      <c r="M4102" s="9"/>
      <c r="N4102" s="9"/>
      <c r="O4102" s="9"/>
      <c r="P4102" s="9"/>
      <c r="Q4102" s="9"/>
      <c r="R4102" s="9"/>
      <c r="S4102" s="9"/>
      <c r="T4102" s="9"/>
      <c r="U4102" s="9"/>
      <c r="V4102" s="9"/>
      <c r="W4102" s="9"/>
      <c r="X4102" s="9"/>
      <c r="Y4102" s="9"/>
      <c r="Z4102" s="9"/>
      <c r="AA4102" s="9"/>
    </row>
    <row r="4103">
      <c r="A4103" s="9"/>
      <c r="B4103" s="9"/>
      <c r="C4103" s="9"/>
      <c r="D4103" s="9"/>
      <c r="E4103" s="9"/>
      <c r="F4103" s="9"/>
      <c r="G4103" s="10"/>
      <c r="H4103" s="9"/>
      <c r="I4103" s="15"/>
      <c r="J4103" s="9"/>
      <c r="K4103" s="9"/>
      <c r="L4103" s="9"/>
      <c r="M4103" s="9"/>
      <c r="N4103" s="9"/>
      <c r="O4103" s="9"/>
      <c r="P4103" s="9"/>
      <c r="Q4103" s="9"/>
      <c r="R4103" s="9"/>
      <c r="S4103" s="9"/>
      <c r="T4103" s="9"/>
      <c r="U4103" s="9"/>
      <c r="V4103" s="9"/>
      <c r="W4103" s="9"/>
      <c r="X4103" s="9"/>
      <c r="Y4103" s="9"/>
      <c r="Z4103" s="9"/>
      <c r="AA4103" s="9"/>
    </row>
    <row r="4104">
      <c r="A4104" s="9"/>
      <c r="B4104" s="9"/>
      <c r="C4104" s="9"/>
      <c r="D4104" s="9"/>
      <c r="E4104" s="9"/>
      <c r="F4104" s="9"/>
      <c r="G4104" s="10"/>
      <c r="H4104" s="9"/>
      <c r="I4104" s="15"/>
      <c r="J4104" s="9"/>
      <c r="K4104" s="9"/>
      <c r="L4104" s="9"/>
      <c r="M4104" s="9"/>
      <c r="N4104" s="9"/>
      <c r="O4104" s="9"/>
      <c r="P4104" s="9"/>
      <c r="Q4104" s="9"/>
      <c r="R4104" s="9"/>
      <c r="S4104" s="9"/>
      <c r="T4104" s="9"/>
      <c r="U4104" s="9"/>
      <c r="V4104" s="9"/>
      <c r="W4104" s="9"/>
      <c r="X4104" s="9"/>
      <c r="Y4104" s="9"/>
      <c r="Z4104" s="9"/>
      <c r="AA4104" s="9"/>
    </row>
    <row r="4105">
      <c r="A4105" s="9"/>
      <c r="B4105" s="9"/>
      <c r="C4105" s="9"/>
      <c r="D4105" s="9"/>
      <c r="E4105" s="9"/>
      <c r="F4105" s="9"/>
      <c r="G4105" s="10"/>
      <c r="H4105" s="9"/>
      <c r="I4105" s="15"/>
      <c r="J4105" s="9"/>
      <c r="K4105" s="9"/>
      <c r="L4105" s="9"/>
      <c r="M4105" s="9"/>
      <c r="N4105" s="9"/>
      <c r="O4105" s="9"/>
      <c r="P4105" s="9"/>
      <c r="Q4105" s="9"/>
      <c r="R4105" s="9"/>
      <c r="S4105" s="9"/>
      <c r="T4105" s="9"/>
      <c r="U4105" s="9"/>
      <c r="V4105" s="9"/>
      <c r="W4105" s="9"/>
      <c r="X4105" s="9"/>
      <c r="Y4105" s="9"/>
      <c r="Z4105" s="9"/>
      <c r="AA4105" s="9"/>
    </row>
    <row r="4106">
      <c r="A4106" s="9"/>
      <c r="B4106" s="9"/>
      <c r="C4106" s="9"/>
      <c r="D4106" s="9"/>
      <c r="E4106" s="9"/>
      <c r="F4106" s="9"/>
      <c r="G4106" s="10"/>
      <c r="H4106" s="9"/>
      <c r="I4106" s="15"/>
      <c r="J4106" s="9"/>
      <c r="K4106" s="9"/>
      <c r="L4106" s="9"/>
      <c r="M4106" s="9"/>
      <c r="N4106" s="9"/>
      <c r="O4106" s="9"/>
      <c r="P4106" s="9"/>
      <c r="Q4106" s="9"/>
      <c r="R4106" s="9"/>
      <c r="S4106" s="9"/>
      <c r="T4106" s="9"/>
      <c r="U4106" s="9"/>
      <c r="V4106" s="9"/>
      <c r="W4106" s="9"/>
      <c r="X4106" s="9"/>
      <c r="Y4106" s="9"/>
      <c r="Z4106" s="9"/>
      <c r="AA4106" s="9"/>
    </row>
    <row r="4107">
      <c r="A4107" s="9"/>
      <c r="B4107" s="9"/>
      <c r="C4107" s="9"/>
      <c r="D4107" s="9"/>
      <c r="E4107" s="9"/>
      <c r="F4107" s="9"/>
      <c r="G4107" s="10"/>
      <c r="H4107" s="9"/>
      <c r="I4107" s="15"/>
      <c r="J4107" s="9"/>
      <c r="K4107" s="9"/>
      <c r="L4107" s="9"/>
      <c r="M4107" s="9"/>
      <c r="N4107" s="9"/>
      <c r="O4107" s="9"/>
      <c r="P4107" s="9"/>
      <c r="Q4107" s="9"/>
      <c r="R4107" s="9"/>
      <c r="S4107" s="9"/>
      <c r="T4107" s="9"/>
      <c r="U4107" s="9"/>
      <c r="V4107" s="9"/>
      <c r="W4107" s="9"/>
      <c r="X4107" s="9"/>
      <c r="Y4107" s="9"/>
      <c r="Z4107" s="9"/>
      <c r="AA4107" s="9"/>
    </row>
    <row r="4108">
      <c r="A4108" s="9"/>
      <c r="B4108" s="9"/>
      <c r="C4108" s="9"/>
      <c r="D4108" s="9"/>
      <c r="E4108" s="9"/>
      <c r="F4108" s="9"/>
      <c r="G4108" s="10"/>
      <c r="H4108" s="9"/>
      <c r="I4108" s="15"/>
      <c r="J4108" s="9"/>
      <c r="K4108" s="9"/>
      <c r="L4108" s="9"/>
      <c r="M4108" s="9"/>
      <c r="N4108" s="9"/>
      <c r="O4108" s="9"/>
      <c r="P4108" s="9"/>
      <c r="Q4108" s="9"/>
      <c r="R4108" s="9"/>
      <c r="S4108" s="9"/>
      <c r="T4108" s="9"/>
      <c r="U4108" s="9"/>
      <c r="V4108" s="9"/>
      <c r="W4108" s="9"/>
      <c r="X4108" s="9"/>
      <c r="Y4108" s="9"/>
      <c r="Z4108" s="9"/>
      <c r="AA4108" s="9"/>
    </row>
    <row r="4109">
      <c r="A4109" s="9"/>
      <c r="B4109" s="9"/>
      <c r="C4109" s="9"/>
      <c r="D4109" s="9"/>
      <c r="E4109" s="9"/>
      <c r="F4109" s="9"/>
      <c r="G4109" s="10"/>
      <c r="H4109" s="9"/>
      <c r="I4109" s="15"/>
      <c r="J4109" s="9"/>
      <c r="K4109" s="9"/>
      <c r="L4109" s="9"/>
      <c r="M4109" s="9"/>
      <c r="N4109" s="9"/>
      <c r="O4109" s="9"/>
      <c r="P4109" s="9"/>
      <c r="Q4109" s="9"/>
      <c r="R4109" s="9"/>
      <c r="S4109" s="9"/>
      <c r="T4109" s="9"/>
      <c r="U4109" s="9"/>
      <c r="V4109" s="9"/>
      <c r="W4109" s="9"/>
      <c r="X4109" s="9"/>
      <c r="Y4109" s="9"/>
      <c r="Z4109" s="9"/>
      <c r="AA4109" s="9"/>
    </row>
    <row r="4110">
      <c r="A4110" s="9"/>
      <c r="B4110" s="9"/>
      <c r="C4110" s="9"/>
      <c r="D4110" s="9"/>
      <c r="E4110" s="9"/>
      <c r="F4110" s="9"/>
      <c r="G4110" s="10"/>
      <c r="H4110" s="9"/>
      <c r="I4110" s="15"/>
      <c r="J4110" s="9"/>
      <c r="K4110" s="9"/>
      <c r="L4110" s="9"/>
      <c r="M4110" s="9"/>
      <c r="N4110" s="9"/>
      <c r="O4110" s="9"/>
      <c r="P4110" s="9"/>
      <c r="Q4110" s="9"/>
      <c r="R4110" s="9"/>
      <c r="S4110" s="9"/>
      <c r="T4110" s="9"/>
      <c r="U4110" s="9"/>
      <c r="V4110" s="9"/>
      <c r="W4110" s="9"/>
      <c r="X4110" s="9"/>
      <c r="Y4110" s="9"/>
      <c r="Z4110" s="9"/>
      <c r="AA4110" s="9"/>
    </row>
    <row r="4111">
      <c r="A4111" s="9"/>
      <c r="B4111" s="9"/>
      <c r="C4111" s="9"/>
      <c r="D4111" s="9"/>
      <c r="E4111" s="9"/>
      <c r="F4111" s="9"/>
      <c r="G4111" s="10"/>
      <c r="H4111" s="9"/>
      <c r="I4111" s="15"/>
      <c r="J4111" s="9"/>
      <c r="K4111" s="9"/>
      <c r="L4111" s="9"/>
      <c r="M4111" s="9"/>
      <c r="N4111" s="9"/>
      <c r="O4111" s="9"/>
      <c r="P4111" s="9"/>
      <c r="Q4111" s="9"/>
      <c r="R4111" s="9"/>
      <c r="S4111" s="9"/>
      <c r="T4111" s="9"/>
      <c r="U4111" s="9"/>
      <c r="V4111" s="9"/>
      <c r="W4111" s="9"/>
      <c r="X4111" s="9"/>
      <c r="Y4111" s="9"/>
      <c r="Z4111" s="9"/>
      <c r="AA4111" s="9"/>
    </row>
    <row r="4112">
      <c r="A4112" s="9"/>
      <c r="B4112" s="9"/>
      <c r="C4112" s="9"/>
      <c r="D4112" s="9"/>
      <c r="E4112" s="9"/>
      <c r="F4112" s="9"/>
      <c r="G4112" s="10"/>
      <c r="H4112" s="9"/>
      <c r="I4112" s="15"/>
      <c r="J4112" s="9"/>
      <c r="K4112" s="9"/>
      <c r="L4112" s="9"/>
      <c r="M4112" s="9"/>
      <c r="N4112" s="9"/>
      <c r="O4112" s="9"/>
      <c r="P4112" s="9"/>
      <c r="Q4112" s="9"/>
      <c r="R4112" s="9"/>
      <c r="S4112" s="9"/>
      <c r="T4112" s="9"/>
      <c r="U4112" s="9"/>
      <c r="V4112" s="9"/>
      <c r="W4112" s="9"/>
      <c r="X4112" s="9"/>
      <c r="Y4112" s="9"/>
      <c r="Z4112" s="9"/>
      <c r="AA4112" s="9"/>
    </row>
    <row r="4113">
      <c r="A4113" s="9"/>
      <c r="B4113" s="9"/>
      <c r="C4113" s="9"/>
      <c r="D4113" s="9"/>
      <c r="E4113" s="9"/>
      <c r="F4113" s="9"/>
      <c r="G4113" s="10"/>
      <c r="H4113" s="9"/>
      <c r="I4113" s="15"/>
      <c r="J4113" s="9"/>
      <c r="K4113" s="9"/>
      <c r="L4113" s="9"/>
      <c r="M4113" s="9"/>
      <c r="N4113" s="9"/>
      <c r="O4113" s="9"/>
      <c r="P4113" s="9"/>
      <c r="Q4113" s="9"/>
      <c r="R4113" s="9"/>
      <c r="S4113" s="9"/>
      <c r="T4113" s="9"/>
      <c r="U4113" s="9"/>
      <c r="V4113" s="9"/>
      <c r="W4113" s="9"/>
      <c r="X4113" s="9"/>
      <c r="Y4113" s="9"/>
      <c r="Z4113" s="9"/>
      <c r="AA4113" s="9"/>
    </row>
    <row r="4114">
      <c r="A4114" s="9"/>
      <c r="B4114" s="9"/>
      <c r="C4114" s="9"/>
      <c r="D4114" s="9"/>
      <c r="E4114" s="9"/>
      <c r="F4114" s="9"/>
      <c r="G4114" s="10"/>
      <c r="H4114" s="9"/>
      <c r="I4114" s="15"/>
      <c r="J4114" s="9"/>
      <c r="K4114" s="9"/>
      <c r="L4114" s="9"/>
      <c r="M4114" s="9"/>
      <c r="N4114" s="9"/>
      <c r="O4114" s="9"/>
      <c r="P4114" s="9"/>
      <c r="Q4114" s="9"/>
      <c r="R4114" s="9"/>
      <c r="S4114" s="9"/>
      <c r="T4114" s="9"/>
      <c r="U4114" s="9"/>
      <c r="V4114" s="9"/>
      <c r="W4114" s="9"/>
      <c r="X4114" s="9"/>
      <c r="Y4114" s="9"/>
      <c r="Z4114" s="9"/>
      <c r="AA4114" s="9"/>
    </row>
    <row r="4115">
      <c r="A4115" s="9"/>
      <c r="B4115" s="9"/>
      <c r="C4115" s="9"/>
      <c r="D4115" s="9"/>
      <c r="E4115" s="9"/>
      <c r="F4115" s="9"/>
      <c r="G4115" s="10"/>
      <c r="H4115" s="9"/>
      <c r="I4115" s="15"/>
      <c r="J4115" s="9"/>
      <c r="K4115" s="9"/>
      <c r="L4115" s="9"/>
      <c r="M4115" s="9"/>
      <c r="N4115" s="9"/>
      <c r="O4115" s="9"/>
      <c r="P4115" s="9"/>
      <c r="Q4115" s="9"/>
      <c r="R4115" s="9"/>
      <c r="S4115" s="9"/>
      <c r="T4115" s="9"/>
      <c r="U4115" s="9"/>
      <c r="V4115" s="9"/>
      <c r="W4115" s="9"/>
      <c r="X4115" s="9"/>
      <c r="Y4115" s="9"/>
      <c r="Z4115" s="9"/>
      <c r="AA4115" s="9"/>
    </row>
    <row r="4116">
      <c r="A4116" s="9"/>
      <c r="B4116" s="9"/>
      <c r="C4116" s="9"/>
      <c r="D4116" s="9"/>
      <c r="E4116" s="9"/>
      <c r="F4116" s="9"/>
      <c r="G4116" s="10"/>
      <c r="H4116" s="9"/>
      <c r="I4116" s="15"/>
      <c r="J4116" s="9"/>
      <c r="K4116" s="9"/>
      <c r="L4116" s="9"/>
      <c r="M4116" s="9"/>
      <c r="N4116" s="9"/>
      <c r="O4116" s="9"/>
      <c r="P4116" s="9"/>
      <c r="Q4116" s="9"/>
      <c r="R4116" s="9"/>
      <c r="S4116" s="9"/>
      <c r="T4116" s="9"/>
      <c r="U4116" s="9"/>
      <c r="V4116" s="9"/>
      <c r="W4116" s="9"/>
      <c r="X4116" s="9"/>
      <c r="Y4116" s="9"/>
      <c r="Z4116" s="9"/>
      <c r="AA4116" s="9"/>
    </row>
    <row r="4117">
      <c r="A4117" s="9"/>
      <c r="B4117" s="9"/>
      <c r="C4117" s="9"/>
      <c r="D4117" s="9"/>
      <c r="E4117" s="9"/>
      <c r="F4117" s="9"/>
      <c r="G4117" s="10"/>
      <c r="H4117" s="9"/>
      <c r="I4117" s="15"/>
      <c r="J4117" s="9"/>
      <c r="K4117" s="9"/>
      <c r="L4117" s="9"/>
      <c r="M4117" s="9"/>
      <c r="N4117" s="9"/>
      <c r="O4117" s="9"/>
      <c r="P4117" s="9"/>
      <c r="Q4117" s="9"/>
      <c r="R4117" s="9"/>
      <c r="S4117" s="9"/>
      <c r="T4117" s="9"/>
      <c r="U4117" s="9"/>
      <c r="V4117" s="9"/>
      <c r="W4117" s="9"/>
      <c r="X4117" s="9"/>
      <c r="Y4117" s="9"/>
      <c r="Z4117" s="9"/>
      <c r="AA4117" s="9"/>
    </row>
    <row r="4118">
      <c r="A4118" s="9"/>
      <c r="B4118" s="9"/>
      <c r="C4118" s="9"/>
      <c r="D4118" s="9"/>
      <c r="E4118" s="9"/>
      <c r="F4118" s="9"/>
      <c r="G4118" s="10"/>
      <c r="H4118" s="9"/>
      <c r="I4118" s="15"/>
      <c r="J4118" s="9"/>
      <c r="K4118" s="9"/>
      <c r="L4118" s="9"/>
      <c r="M4118" s="9"/>
      <c r="N4118" s="9"/>
      <c r="O4118" s="9"/>
      <c r="P4118" s="9"/>
      <c r="Q4118" s="9"/>
      <c r="R4118" s="9"/>
      <c r="S4118" s="9"/>
      <c r="T4118" s="9"/>
      <c r="U4118" s="9"/>
      <c r="V4118" s="9"/>
      <c r="W4118" s="9"/>
      <c r="X4118" s="9"/>
      <c r="Y4118" s="9"/>
      <c r="Z4118" s="9"/>
      <c r="AA4118" s="9"/>
    </row>
    <row r="4119">
      <c r="A4119" s="9"/>
      <c r="B4119" s="9"/>
      <c r="C4119" s="9"/>
      <c r="D4119" s="9"/>
      <c r="E4119" s="9"/>
      <c r="F4119" s="9"/>
      <c r="G4119" s="10"/>
      <c r="H4119" s="9"/>
      <c r="I4119" s="15"/>
      <c r="J4119" s="9"/>
      <c r="K4119" s="9"/>
      <c r="L4119" s="9"/>
      <c r="M4119" s="9"/>
      <c r="N4119" s="9"/>
      <c r="O4119" s="9"/>
      <c r="P4119" s="9"/>
      <c r="Q4119" s="9"/>
      <c r="R4119" s="9"/>
      <c r="S4119" s="9"/>
      <c r="T4119" s="9"/>
      <c r="U4119" s="9"/>
      <c r="V4119" s="9"/>
      <c r="W4119" s="9"/>
      <c r="X4119" s="9"/>
      <c r="Y4119" s="9"/>
      <c r="Z4119" s="9"/>
      <c r="AA4119" s="9"/>
    </row>
    <row r="4120">
      <c r="A4120" s="9"/>
      <c r="B4120" s="9"/>
      <c r="C4120" s="9"/>
      <c r="D4120" s="9"/>
      <c r="E4120" s="9"/>
      <c r="F4120" s="9"/>
      <c r="G4120" s="10"/>
      <c r="H4120" s="9"/>
      <c r="I4120" s="15"/>
      <c r="J4120" s="9"/>
      <c r="K4120" s="9"/>
      <c r="L4120" s="9"/>
      <c r="M4120" s="9"/>
      <c r="N4120" s="9"/>
      <c r="O4120" s="9"/>
      <c r="P4120" s="9"/>
      <c r="Q4120" s="9"/>
      <c r="R4120" s="9"/>
      <c r="S4120" s="9"/>
      <c r="T4120" s="9"/>
      <c r="U4120" s="9"/>
      <c r="V4120" s="9"/>
      <c r="W4120" s="9"/>
      <c r="X4120" s="9"/>
      <c r="Y4120" s="9"/>
      <c r="Z4120" s="9"/>
      <c r="AA4120" s="9"/>
    </row>
    <row r="4121">
      <c r="A4121" s="9"/>
      <c r="B4121" s="9"/>
      <c r="C4121" s="9"/>
      <c r="D4121" s="9"/>
      <c r="E4121" s="9"/>
      <c r="F4121" s="9"/>
      <c r="G4121" s="10"/>
      <c r="H4121" s="9"/>
      <c r="I4121" s="15"/>
      <c r="J4121" s="9"/>
      <c r="K4121" s="9"/>
      <c r="L4121" s="9"/>
      <c r="M4121" s="9"/>
      <c r="N4121" s="9"/>
      <c r="O4121" s="9"/>
      <c r="P4121" s="9"/>
      <c r="Q4121" s="9"/>
      <c r="R4121" s="9"/>
      <c r="S4121" s="9"/>
      <c r="T4121" s="9"/>
      <c r="U4121" s="9"/>
      <c r="V4121" s="9"/>
      <c r="W4121" s="9"/>
      <c r="X4121" s="9"/>
      <c r="Y4121" s="9"/>
      <c r="Z4121" s="9"/>
      <c r="AA4121" s="9"/>
    </row>
    <row r="4122">
      <c r="A4122" s="9"/>
      <c r="B4122" s="9"/>
      <c r="C4122" s="9"/>
      <c r="D4122" s="9"/>
      <c r="E4122" s="9"/>
      <c r="F4122" s="9"/>
      <c r="G4122" s="10"/>
      <c r="H4122" s="9"/>
      <c r="I4122" s="15"/>
      <c r="J4122" s="9"/>
      <c r="K4122" s="9"/>
      <c r="L4122" s="9"/>
      <c r="M4122" s="9"/>
      <c r="N4122" s="9"/>
      <c r="O4122" s="9"/>
      <c r="P4122" s="9"/>
      <c r="Q4122" s="9"/>
      <c r="R4122" s="9"/>
      <c r="S4122" s="9"/>
      <c r="T4122" s="9"/>
      <c r="U4122" s="9"/>
      <c r="V4122" s="9"/>
      <c r="W4122" s="9"/>
      <c r="X4122" s="9"/>
      <c r="Y4122" s="9"/>
      <c r="Z4122" s="9"/>
      <c r="AA4122" s="9"/>
    </row>
    <row r="4123">
      <c r="A4123" s="9"/>
      <c r="B4123" s="9"/>
      <c r="C4123" s="9"/>
      <c r="D4123" s="9"/>
      <c r="E4123" s="9"/>
      <c r="F4123" s="9"/>
      <c r="G4123" s="10"/>
      <c r="H4123" s="9"/>
      <c r="I4123" s="15"/>
      <c r="J4123" s="9"/>
      <c r="K4123" s="9"/>
      <c r="L4123" s="9"/>
      <c r="M4123" s="9"/>
      <c r="N4123" s="9"/>
      <c r="O4123" s="9"/>
      <c r="P4123" s="9"/>
      <c r="Q4123" s="9"/>
      <c r="R4123" s="9"/>
      <c r="S4123" s="9"/>
      <c r="T4123" s="9"/>
      <c r="U4123" s="9"/>
      <c r="V4123" s="9"/>
      <c r="W4123" s="9"/>
      <c r="X4123" s="9"/>
      <c r="Y4123" s="9"/>
      <c r="Z4123" s="9"/>
      <c r="AA4123" s="9"/>
    </row>
    <row r="4124">
      <c r="A4124" s="9"/>
      <c r="B4124" s="9"/>
      <c r="C4124" s="9"/>
      <c r="D4124" s="9"/>
      <c r="E4124" s="9"/>
      <c r="F4124" s="9"/>
      <c r="G4124" s="10"/>
      <c r="H4124" s="9"/>
      <c r="I4124" s="15"/>
      <c r="J4124" s="9"/>
      <c r="K4124" s="9"/>
      <c r="L4124" s="9"/>
      <c r="M4124" s="9"/>
      <c r="N4124" s="9"/>
      <c r="O4124" s="9"/>
      <c r="P4124" s="9"/>
      <c r="Q4124" s="9"/>
      <c r="R4124" s="9"/>
      <c r="S4124" s="9"/>
      <c r="T4124" s="9"/>
      <c r="U4124" s="9"/>
      <c r="V4124" s="9"/>
      <c r="W4124" s="9"/>
      <c r="X4124" s="9"/>
      <c r="Y4124" s="9"/>
      <c r="Z4124" s="9"/>
      <c r="AA4124" s="9"/>
    </row>
    <row r="4125">
      <c r="A4125" s="9"/>
      <c r="B4125" s="9"/>
      <c r="C4125" s="9"/>
      <c r="D4125" s="9"/>
      <c r="E4125" s="9"/>
      <c r="F4125" s="9"/>
      <c r="G4125" s="10"/>
      <c r="H4125" s="9"/>
      <c r="I4125" s="15"/>
      <c r="J4125" s="9"/>
      <c r="K4125" s="9"/>
      <c r="L4125" s="9"/>
      <c r="M4125" s="9"/>
      <c r="N4125" s="9"/>
      <c r="O4125" s="9"/>
      <c r="P4125" s="9"/>
      <c r="Q4125" s="9"/>
      <c r="R4125" s="9"/>
      <c r="S4125" s="9"/>
      <c r="T4125" s="9"/>
      <c r="U4125" s="9"/>
      <c r="V4125" s="9"/>
      <c r="W4125" s="9"/>
      <c r="X4125" s="9"/>
      <c r="Y4125" s="9"/>
      <c r="Z4125" s="9"/>
      <c r="AA4125" s="9"/>
    </row>
    <row r="4126">
      <c r="A4126" s="9"/>
      <c r="B4126" s="9"/>
      <c r="C4126" s="9"/>
      <c r="D4126" s="9"/>
      <c r="E4126" s="9"/>
      <c r="F4126" s="9"/>
      <c r="G4126" s="10"/>
      <c r="H4126" s="9"/>
      <c r="I4126" s="15"/>
      <c r="J4126" s="9"/>
      <c r="K4126" s="9"/>
      <c r="L4126" s="9"/>
      <c r="M4126" s="9"/>
      <c r="N4126" s="9"/>
      <c r="O4126" s="9"/>
      <c r="P4126" s="9"/>
      <c r="Q4126" s="9"/>
      <c r="R4126" s="9"/>
      <c r="S4126" s="9"/>
      <c r="T4126" s="9"/>
      <c r="U4126" s="9"/>
      <c r="V4126" s="9"/>
      <c r="W4126" s="9"/>
      <c r="X4126" s="9"/>
      <c r="Y4126" s="9"/>
      <c r="Z4126" s="9"/>
      <c r="AA4126" s="9"/>
    </row>
    <row r="4127">
      <c r="A4127" s="9"/>
      <c r="B4127" s="9"/>
      <c r="C4127" s="9"/>
      <c r="D4127" s="9"/>
      <c r="E4127" s="9"/>
      <c r="F4127" s="9"/>
      <c r="G4127" s="10"/>
      <c r="H4127" s="9"/>
      <c r="I4127" s="15"/>
      <c r="J4127" s="9"/>
      <c r="K4127" s="9"/>
      <c r="L4127" s="9"/>
      <c r="M4127" s="9"/>
      <c r="N4127" s="9"/>
      <c r="O4127" s="9"/>
      <c r="P4127" s="9"/>
      <c r="Q4127" s="9"/>
      <c r="R4127" s="9"/>
      <c r="S4127" s="9"/>
      <c r="T4127" s="9"/>
      <c r="U4127" s="9"/>
      <c r="V4127" s="9"/>
      <c r="W4127" s="9"/>
      <c r="X4127" s="9"/>
      <c r="Y4127" s="9"/>
      <c r="Z4127" s="9"/>
      <c r="AA4127" s="9"/>
    </row>
    <row r="4128">
      <c r="A4128" s="9"/>
      <c r="B4128" s="9"/>
      <c r="C4128" s="9"/>
      <c r="D4128" s="9"/>
      <c r="E4128" s="9"/>
      <c r="F4128" s="9"/>
      <c r="G4128" s="10"/>
      <c r="H4128" s="9"/>
      <c r="I4128" s="15"/>
      <c r="J4128" s="9"/>
      <c r="K4128" s="9"/>
      <c r="L4128" s="9"/>
      <c r="M4128" s="9"/>
      <c r="N4128" s="9"/>
      <c r="O4128" s="9"/>
      <c r="P4128" s="9"/>
      <c r="Q4128" s="9"/>
      <c r="R4128" s="9"/>
      <c r="S4128" s="9"/>
      <c r="T4128" s="9"/>
      <c r="U4128" s="9"/>
      <c r="V4128" s="9"/>
      <c r="W4128" s="9"/>
      <c r="X4128" s="9"/>
      <c r="Y4128" s="9"/>
      <c r="Z4128" s="9"/>
      <c r="AA4128" s="9"/>
    </row>
    <row r="4129">
      <c r="A4129" s="9"/>
      <c r="B4129" s="9"/>
      <c r="C4129" s="9"/>
      <c r="D4129" s="9"/>
      <c r="E4129" s="9"/>
      <c r="F4129" s="9"/>
      <c r="G4129" s="10"/>
      <c r="H4129" s="9"/>
      <c r="I4129" s="15"/>
      <c r="J4129" s="9"/>
      <c r="K4129" s="9"/>
      <c r="L4129" s="9"/>
      <c r="M4129" s="9"/>
      <c r="N4129" s="9"/>
      <c r="O4129" s="9"/>
      <c r="P4129" s="9"/>
      <c r="Q4129" s="9"/>
      <c r="R4129" s="9"/>
      <c r="S4129" s="9"/>
      <c r="T4129" s="9"/>
      <c r="U4129" s="9"/>
      <c r="V4129" s="9"/>
      <c r="W4129" s="9"/>
      <c r="X4129" s="9"/>
      <c r="Y4129" s="9"/>
      <c r="Z4129" s="9"/>
      <c r="AA4129" s="9"/>
    </row>
    <row r="4130">
      <c r="A4130" s="9"/>
      <c r="B4130" s="9"/>
      <c r="C4130" s="9"/>
      <c r="D4130" s="9"/>
      <c r="E4130" s="9"/>
      <c r="F4130" s="9"/>
      <c r="G4130" s="10"/>
      <c r="H4130" s="9"/>
      <c r="I4130" s="15"/>
      <c r="J4130" s="9"/>
      <c r="K4130" s="9"/>
      <c r="L4130" s="9"/>
      <c r="M4130" s="9"/>
      <c r="N4130" s="9"/>
      <c r="O4130" s="9"/>
      <c r="P4130" s="9"/>
      <c r="Q4130" s="9"/>
      <c r="R4130" s="9"/>
      <c r="S4130" s="9"/>
      <c r="T4130" s="9"/>
      <c r="U4130" s="9"/>
      <c r="V4130" s="9"/>
      <c r="W4130" s="9"/>
      <c r="X4130" s="9"/>
      <c r="Y4130" s="9"/>
      <c r="Z4130" s="9"/>
      <c r="AA4130" s="9"/>
    </row>
  </sheetData>
  <conditionalFormatting sqref="G1:G4130">
    <cfRule type="notContainsBlanks" dxfId="0" priority="1">
      <formula>LEN(TRIM(G1))&gt;0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25"/>
    <col customWidth="1" min="8" max="8" width="22.5"/>
    <col customWidth="1" min="11" max="11" width="22.5"/>
    <col customWidth="1" min="20" max="20" width="15.5"/>
  </cols>
  <sheetData>
    <row r="8">
      <c r="A8" s="17">
        <v>3.66</v>
      </c>
      <c r="B8" s="17">
        <v>227.7</v>
      </c>
      <c r="C8" s="1">
        <v>543.92</v>
      </c>
      <c r="D8" s="17">
        <v>4.5</v>
      </c>
      <c r="E8" s="17">
        <v>0.65</v>
      </c>
      <c r="F8" s="17">
        <v>50.0</v>
      </c>
      <c r="G8" s="3">
        <v>44462.730717592596</v>
      </c>
      <c r="H8" s="18"/>
    </row>
    <row r="9">
      <c r="A9" s="17">
        <v>3.6500000000000004</v>
      </c>
      <c r="B9" s="17">
        <v>227.7</v>
      </c>
      <c r="C9" s="1">
        <v>542.3399999999999</v>
      </c>
      <c r="D9" s="17">
        <v>4.5</v>
      </c>
      <c r="E9" s="17">
        <v>0.65</v>
      </c>
      <c r="F9" s="17">
        <v>50.0</v>
      </c>
      <c r="G9" s="3">
        <v>44462.73082175926</v>
      </c>
    </row>
    <row r="10">
      <c r="A10" s="17">
        <v>3.6400000000000006</v>
      </c>
      <c r="B10" s="17">
        <v>227.7</v>
      </c>
      <c r="C10" s="1">
        <v>540.7599999999999</v>
      </c>
      <c r="D10" s="17">
        <v>4.5</v>
      </c>
      <c r="E10" s="17">
        <v>0.65</v>
      </c>
      <c r="F10" s="17">
        <v>50.0</v>
      </c>
      <c r="G10" s="3">
        <v>44462.73092592593</v>
      </c>
    </row>
    <row r="11">
      <c r="A11" s="17">
        <v>3.630000000000001</v>
      </c>
      <c r="B11" s="17">
        <v>227.7</v>
      </c>
      <c r="C11" s="1">
        <v>539.1799999999998</v>
      </c>
      <c r="D11" s="17">
        <v>4.5</v>
      </c>
      <c r="E11" s="17">
        <v>0.65</v>
      </c>
      <c r="F11" s="17">
        <v>50.0</v>
      </c>
      <c r="G11" s="3">
        <v>44462.73103009259</v>
      </c>
    </row>
    <row r="12">
      <c r="A12" s="17">
        <v>3.620000000000001</v>
      </c>
      <c r="B12" s="17">
        <v>227.7</v>
      </c>
      <c r="C12" s="1">
        <v>537.5999999999998</v>
      </c>
      <c r="D12" s="17">
        <v>4.5</v>
      </c>
      <c r="E12" s="17">
        <v>0.65</v>
      </c>
      <c r="F12" s="17">
        <v>50.0</v>
      </c>
      <c r="G12" s="3">
        <v>44462.73113425926</v>
      </c>
    </row>
    <row r="13">
      <c r="A13" s="17">
        <v>3.610000000000001</v>
      </c>
      <c r="B13" s="17">
        <v>227.7</v>
      </c>
      <c r="C13" s="1">
        <v>536.0199999999998</v>
      </c>
      <c r="D13" s="17">
        <v>4.5</v>
      </c>
      <c r="E13" s="17">
        <v>0.65</v>
      </c>
      <c r="F13" s="17">
        <v>50.0</v>
      </c>
      <c r="G13" s="3">
        <v>44462.73123842593</v>
      </c>
    </row>
    <row r="14">
      <c r="A14" s="17">
        <v>3.6000000000000014</v>
      </c>
      <c r="B14" s="17">
        <v>227.7</v>
      </c>
      <c r="C14" s="1">
        <v>534.4399999999997</v>
      </c>
      <c r="D14" s="17">
        <v>4.5</v>
      </c>
      <c r="E14" s="17">
        <v>0.65</v>
      </c>
      <c r="F14" s="17">
        <v>50.0</v>
      </c>
      <c r="G14" s="3">
        <v>44462.73134259259</v>
      </c>
    </row>
    <row r="15">
      <c r="A15" s="17">
        <v>3.5900000000000016</v>
      </c>
      <c r="B15" s="17">
        <v>227.7</v>
      </c>
      <c r="C15" s="1">
        <v>532.8599999999997</v>
      </c>
      <c r="D15" s="17">
        <v>4.5</v>
      </c>
      <c r="E15" s="17">
        <v>0.65</v>
      </c>
      <c r="F15" s="17">
        <v>50.0</v>
      </c>
      <c r="G15" s="3">
        <v>44462.73144675926</v>
      </c>
    </row>
    <row r="16">
      <c r="A16" s="17">
        <v>3.580000000000002</v>
      </c>
      <c r="B16" s="17">
        <v>227.7</v>
      </c>
      <c r="C16" s="1">
        <v>531.2799999999996</v>
      </c>
      <c r="D16" s="17">
        <v>4.5</v>
      </c>
      <c r="E16" s="17">
        <v>0.65</v>
      </c>
      <c r="F16" s="17">
        <v>50.0</v>
      </c>
      <c r="G16" s="3">
        <v>44462.73155092593</v>
      </c>
    </row>
    <row r="17">
      <c r="A17" s="17">
        <v>3.570000000000002</v>
      </c>
      <c r="B17" s="17">
        <v>227.7</v>
      </c>
      <c r="C17" s="1">
        <v>529.6999999999996</v>
      </c>
      <c r="D17" s="17">
        <v>4.5</v>
      </c>
      <c r="E17" s="17">
        <v>0.65</v>
      </c>
      <c r="F17" s="17">
        <v>50.0</v>
      </c>
      <c r="G17" s="3">
        <v>44462.73165509259</v>
      </c>
    </row>
    <row r="18">
      <c r="A18" s="17">
        <v>3.5600000000000023</v>
      </c>
      <c r="B18" s="17">
        <v>227.7</v>
      </c>
      <c r="C18" s="1">
        <v>528.1199999999995</v>
      </c>
      <c r="D18" s="17">
        <v>4.5</v>
      </c>
      <c r="E18" s="17">
        <v>0.65</v>
      </c>
      <c r="F18" s="17">
        <v>50.0</v>
      </c>
      <c r="G18" s="3">
        <v>44462.73175925926</v>
      </c>
    </row>
    <row r="19">
      <c r="A19" s="17">
        <v>3.5500000000000025</v>
      </c>
      <c r="B19" s="17">
        <v>228.6</v>
      </c>
      <c r="C19" s="1">
        <v>526.5399999999995</v>
      </c>
      <c r="D19" s="17">
        <v>4.5</v>
      </c>
      <c r="E19" s="17">
        <v>0.65</v>
      </c>
      <c r="F19" s="17">
        <v>50.0</v>
      </c>
      <c r="G19" s="3">
        <v>44462.73186342593</v>
      </c>
    </row>
    <row r="20">
      <c r="A20" s="17">
        <v>3.5400000000000027</v>
      </c>
      <c r="B20" s="17">
        <v>228.6</v>
      </c>
      <c r="C20" s="1">
        <v>524.9599999999995</v>
      </c>
      <c r="D20" s="17">
        <v>4.5</v>
      </c>
      <c r="E20" s="17">
        <v>0.65</v>
      </c>
      <c r="F20" s="17">
        <v>50.0</v>
      </c>
      <c r="G20" s="3">
        <v>44462.73196759259</v>
      </c>
    </row>
    <row r="21">
      <c r="A21" s="17">
        <v>3.530000000000003</v>
      </c>
      <c r="B21" s="17">
        <v>228.6</v>
      </c>
      <c r="C21" s="1">
        <v>523.3799999999994</v>
      </c>
      <c r="D21" s="17">
        <v>4.5</v>
      </c>
      <c r="E21" s="17">
        <v>0.65</v>
      </c>
      <c r="F21" s="17">
        <v>50.0</v>
      </c>
      <c r="G21" s="3">
        <v>44462.73207175926</v>
      </c>
    </row>
    <row r="22">
      <c r="A22" s="17">
        <v>3.520000000000003</v>
      </c>
      <c r="B22" s="17">
        <v>228.6</v>
      </c>
      <c r="C22" s="1">
        <v>521.7999999999994</v>
      </c>
      <c r="D22" s="17">
        <v>4.5</v>
      </c>
      <c r="E22" s="17">
        <v>0.65</v>
      </c>
      <c r="F22" s="17">
        <v>50.0</v>
      </c>
      <c r="G22" s="3">
        <v>44462.73217592593</v>
      </c>
    </row>
    <row r="23">
      <c r="A23" s="17">
        <v>3.5100000000000033</v>
      </c>
      <c r="B23" s="17">
        <v>228.6</v>
      </c>
      <c r="C23" s="1">
        <v>520.2199999999993</v>
      </c>
      <c r="D23" s="17">
        <v>4.5</v>
      </c>
      <c r="E23" s="17">
        <v>0.65</v>
      </c>
      <c r="F23" s="17">
        <v>50.0</v>
      </c>
      <c r="G23" s="3">
        <v>44462.73228009259</v>
      </c>
    </row>
    <row r="24">
      <c r="A24" s="17">
        <v>3.5000000000000036</v>
      </c>
      <c r="B24" s="17">
        <v>228.6</v>
      </c>
      <c r="C24" s="1">
        <v>518.6399999999993</v>
      </c>
      <c r="D24" s="17">
        <v>4.5</v>
      </c>
      <c r="E24" s="17">
        <v>0.65</v>
      </c>
      <c r="F24" s="17">
        <v>50.0</v>
      </c>
      <c r="G24" s="3">
        <v>44462.73238425926</v>
      </c>
    </row>
    <row r="25">
      <c r="A25" s="17">
        <v>3.4900000000000038</v>
      </c>
      <c r="B25" s="17">
        <v>228.6</v>
      </c>
      <c r="C25" s="1">
        <v>517.0599999999993</v>
      </c>
      <c r="D25" s="17">
        <v>4.5</v>
      </c>
      <c r="E25" s="17">
        <v>0.65</v>
      </c>
      <c r="F25" s="17">
        <v>50.0</v>
      </c>
      <c r="G25" s="3">
        <v>44462.73248842593</v>
      </c>
    </row>
    <row r="26">
      <c r="A26" s="17">
        <v>3.480000000000004</v>
      </c>
      <c r="B26" s="17">
        <v>228.6</v>
      </c>
      <c r="C26" s="1">
        <v>515.4799999999992</v>
      </c>
      <c r="D26" s="17">
        <v>4.5</v>
      </c>
      <c r="E26" s="17">
        <v>0.65</v>
      </c>
      <c r="F26" s="17">
        <v>50.0</v>
      </c>
      <c r="G26" s="3">
        <v>44462.73259259259</v>
      </c>
    </row>
    <row r="27">
      <c r="A27" s="17">
        <v>3.470000000000004</v>
      </c>
      <c r="B27" s="17">
        <v>228.6</v>
      </c>
      <c r="C27" s="1">
        <v>513.8999999999992</v>
      </c>
      <c r="D27" s="17">
        <v>4.5</v>
      </c>
      <c r="E27" s="17">
        <v>0.65</v>
      </c>
      <c r="F27" s="17">
        <v>50.0</v>
      </c>
      <c r="G27" s="3">
        <v>44462.73269675926</v>
      </c>
    </row>
    <row r="28">
      <c r="A28" s="17">
        <v>3.4600000000000044</v>
      </c>
      <c r="B28" s="17">
        <v>228.6</v>
      </c>
      <c r="C28" s="1">
        <v>512.3199999999991</v>
      </c>
      <c r="D28" s="17">
        <v>4.5</v>
      </c>
      <c r="E28" s="17">
        <v>0.65</v>
      </c>
      <c r="F28" s="17">
        <v>50.0</v>
      </c>
      <c r="G28" s="3">
        <v>44462.73280092593</v>
      </c>
    </row>
    <row r="29">
      <c r="A29" s="17">
        <v>3.4500000000000046</v>
      </c>
      <c r="B29" s="17">
        <v>228.6</v>
      </c>
      <c r="C29" s="1">
        <v>510.73999999999916</v>
      </c>
      <c r="D29" s="17">
        <v>4.5</v>
      </c>
      <c r="E29" s="17">
        <v>0.65</v>
      </c>
      <c r="F29" s="17">
        <v>50.0</v>
      </c>
      <c r="G29" s="3">
        <v>44462.73290509259</v>
      </c>
    </row>
    <row r="30">
      <c r="A30" s="17">
        <v>3.440000000000005</v>
      </c>
      <c r="B30" s="17">
        <v>228.6</v>
      </c>
      <c r="C30" s="1">
        <v>509.1599999999992</v>
      </c>
      <c r="D30" s="17">
        <v>4.5</v>
      </c>
      <c r="E30" s="17">
        <v>0.65</v>
      </c>
      <c r="F30" s="17">
        <v>50.0</v>
      </c>
      <c r="G30" s="3">
        <v>44462.73300925926</v>
      </c>
    </row>
    <row r="31">
      <c r="A31" s="17">
        <v>3.430000000000005</v>
      </c>
      <c r="B31" s="17">
        <v>228.5</v>
      </c>
      <c r="C31" s="1">
        <v>507.5799999999992</v>
      </c>
      <c r="D31" s="17">
        <v>4.5</v>
      </c>
      <c r="E31" s="17">
        <v>0.65</v>
      </c>
      <c r="F31" s="17">
        <v>50.0</v>
      </c>
      <c r="G31" s="3">
        <v>44462.73311342593</v>
      </c>
    </row>
    <row r="32">
      <c r="A32" s="17">
        <v>3.4200000000000053</v>
      </c>
      <c r="B32" s="17">
        <v>228.5</v>
      </c>
      <c r="C32" s="1">
        <v>505.9999999999992</v>
      </c>
      <c r="D32" s="17">
        <v>4.5</v>
      </c>
      <c r="E32" s="17">
        <v>0.65</v>
      </c>
      <c r="F32" s="17">
        <v>50.0</v>
      </c>
      <c r="G32" s="3">
        <v>44462.73321759259</v>
      </c>
    </row>
    <row r="33">
      <c r="A33" s="17">
        <v>3.4100000000000055</v>
      </c>
      <c r="B33" s="17">
        <v>228.5</v>
      </c>
      <c r="C33" s="1">
        <v>504.4199999999992</v>
      </c>
      <c r="D33" s="17">
        <v>4.5</v>
      </c>
      <c r="E33" s="17">
        <v>0.65</v>
      </c>
      <c r="F33" s="17">
        <v>50.0</v>
      </c>
      <c r="G33" s="3">
        <v>44462.73332175926</v>
      </c>
    </row>
    <row r="34">
      <c r="A34" s="17">
        <v>3.4000000000000057</v>
      </c>
      <c r="B34" s="17">
        <v>228.5</v>
      </c>
      <c r="C34" s="1">
        <v>502.83999999999924</v>
      </c>
      <c r="D34" s="17">
        <v>4.5</v>
      </c>
      <c r="E34" s="17">
        <v>0.65</v>
      </c>
      <c r="F34" s="17">
        <v>50.0</v>
      </c>
      <c r="G34" s="3">
        <v>44462.73342592592</v>
      </c>
    </row>
    <row r="35">
      <c r="A35" s="17">
        <v>3.390000000000006</v>
      </c>
      <c r="B35" s="17">
        <v>228.5</v>
      </c>
      <c r="C35" s="1">
        <v>501.25999999999925</v>
      </c>
      <c r="D35" s="17">
        <v>4.5</v>
      </c>
      <c r="E35" s="17">
        <v>0.65</v>
      </c>
      <c r="F35" s="17">
        <v>50.0</v>
      </c>
      <c r="G35" s="3">
        <v>44462.73353009259</v>
      </c>
    </row>
    <row r="36">
      <c r="A36" s="17">
        <v>3.380000000000006</v>
      </c>
      <c r="B36" s="17">
        <v>228.5</v>
      </c>
      <c r="C36" s="1">
        <v>499.67999999999927</v>
      </c>
      <c r="D36" s="17">
        <v>4.5</v>
      </c>
      <c r="E36" s="17">
        <v>0.65</v>
      </c>
      <c r="F36" s="17">
        <v>50.0</v>
      </c>
      <c r="G36" s="3">
        <v>44462.73363425926</v>
      </c>
    </row>
    <row r="37">
      <c r="A37" s="17">
        <v>3.3700000000000063</v>
      </c>
      <c r="B37" s="17">
        <v>228.5</v>
      </c>
      <c r="C37" s="1">
        <v>498.0999999999993</v>
      </c>
      <c r="D37" s="17">
        <v>4.5</v>
      </c>
      <c r="E37" s="17">
        <v>0.65</v>
      </c>
      <c r="F37" s="17">
        <v>50.0</v>
      </c>
      <c r="G37" s="3">
        <v>44462.73373842592</v>
      </c>
    </row>
    <row r="38">
      <c r="A38" s="17">
        <v>3.3600000000000065</v>
      </c>
      <c r="B38" s="17">
        <v>228.5</v>
      </c>
      <c r="C38" s="1">
        <v>496.5199999999993</v>
      </c>
      <c r="D38" s="17">
        <v>4.5</v>
      </c>
      <c r="E38" s="17">
        <v>0.65</v>
      </c>
      <c r="F38" s="17">
        <v>50.0</v>
      </c>
      <c r="G38" s="3">
        <v>44462.73384259259</v>
      </c>
    </row>
    <row r="39">
      <c r="A39" s="17">
        <v>3.3500000000000068</v>
      </c>
      <c r="B39" s="17">
        <v>228.5</v>
      </c>
      <c r="C39" s="1">
        <v>494.9399999999993</v>
      </c>
      <c r="D39" s="17">
        <v>4.5</v>
      </c>
      <c r="E39" s="17">
        <v>0.65</v>
      </c>
      <c r="F39" s="17">
        <v>50.0</v>
      </c>
      <c r="G39" s="3">
        <v>44462.73394675926</v>
      </c>
    </row>
    <row r="40">
      <c r="A40" s="17">
        <v>3.340000000000007</v>
      </c>
      <c r="B40" s="17">
        <v>228.5</v>
      </c>
      <c r="C40" s="1">
        <v>493.35999999999933</v>
      </c>
      <c r="D40" s="17">
        <v>4.5</v>
      </c>
      <c r="E40" s="17">
        <v>0.65</v>
      </c>
      <c r="F40" s="17">
        <v>50.0</v>
      </c>
      <c r="G40" s="3">
        <v>44462.73405092592</v>
      </c>
    </row>
    <row r="41">
      <c r="A41" s="17">
        <v>3.330000000000007</v>
      </c>
      <c r="B41" s="17">
        <v>228.5</v>
      </c>
      <c r="C41" s="1">
        <v>491.77999999999935</v>
      </c>
      <c r="D41" s="17">
        <v>4.5</v>
      </c>
      <c r="E41" s="17">
        <v>0.65</v>
      </c>
      <c r="F41" s="17">
        <v>50.0</v>
      </c>
      <c r="G41" s="3">
        <v>44462.73415509259</v>
      </c>
    </row>
    <row r="42">
      <c r="A42" s="17">
        <v>3.3200000000000074</v>
      </c>
      <c r="B42" s="17">
        <v>228.5</v>
      </c>
      <c r="C42" s="1">
        <v>490.19999999999936</v>
      </c>
      <c r="D42" s="17">
        <v>4.5</v>
      </c>
      <c r="E42" s="17">
        <v>0.65</v>
      </c>
      <c r="F42" s="17">
        <v>50.0</v>
      </c>
      <c r="G42" s="3">
        <v>44462.73425925926</v>
      </c>
    </row>
    <row r="43">
      <c r="A43" s="17">
        <v>3.3100000000000076</v>
      </c>
      <c r="B43" s="17">
        <v>228.5</v>
      </c>
      <c r="C43" s="1">
        <v>488.6199999999994</v>
      </c>
      <c r="D43" s="17">
        <v>4.5</v>
      </c>
      <c r="E43" s="17">
        <v>0.65</v>
      </c>
      <c r="F43" s="17">
        <v>50.0</v>
      </c>
      <c r="G43" s="3">
        <v>44462.73436342592</v>
      </c>
    </row>
    <row r="44">
      <c r="A44" s="17">
        <v>3.300000000000008</v>
      </c>
      <c r="B44" s="17">
        <v>228.5</v>
      </c>
      <c r="C44" s="1">
        <v>487.0399999999994</v>
      </c>
      <c r="D44" s="17">
        <v>4.5</v>
      </c>
      <c r="E44" s="17">
        <v>0.65</v>
      </c>
      <c r="F44" s="17">
        <v>50.0</v>
      </c>
      <c r="G44" s="3">
        <v>44462.73446759259</v>
      </c>
    </row>
    <row r="45">
      <c r="A45" s="17">
        <v>3.290000000000008</v>
      </c>
      <c r="B45" s="17">
        <v>228.4</v>
      </c>
      <c r="C45" s="1">
        <v>485.4599999999994</v>
      </c>
      <c r="D45" s="17">
        <v>4.5</v>
      </c>
      <c r="E45" s="17">
        <v>0.65</v>
      </c>
      <c r="F45" s="17">
        <v>50.0</v>
      </c>
      <c r="G45" s="3">
        <v>44462.73457175926</v>
      </c>
      <c r="K45" s="3"/>
    </row>
    <row r="46">
      <c r="A46" s="17">
        <v>3.2800000000000082</v>
      </c>
      <c r="B46" s="17">
        <v>228.4</v>
      </c>
      <c r="C46" s="1">
        <v>483.8799999999994</v>
      </c>
      <c r="D46" s="17">
        <v>4.5</v>
      </c>
      <c r="E46" s="17">
        <v>0.65</v>
      </c>
      <c r="F46" s="17">
        <v>50.0</v>
      </c>
      <c r="G46" s="3">
        <v>44462.73467592592</v>
      </c>
      <c r="K46" s="3"/>
    </row>
    <row r="47">
      <c r="A47" s="17">
        <v>3.2700000000000085</v>
      </c>
      <c r="B47" s="17">
        <v>228.4</v>
      </c>
      <c r="C47" s="1">
        <v>482.29999999999944</v>
      </c>
      <c r="D47" s="17">
        <v>4.5</v>
      </c>
      <c r="E47" s="17">
        <v>0.65</v>
      </c>
      <c r="F47" s="17">
        <v>50.0</v>
      </c>
      <c r="G47" s="3">
        <v>44462.73478009259</v>
      </c>
      <c r="K47" s="3"/>
    </row>
    <row r="48">
      <c r="A48" s="17">
        <v>3.2600000000000087</v>
      </c>
      <c r="B48" s="17">
        <v>228.4</v>
      </c>
      <c r="C48" s="1">
        <v>480.71999999999946</v>
      </c>
      <c r="D48" s="17">
        <v>4.5</v>
      </c>
      <c r="E48" s="17">
        <v>0.65</v>
      </c>
      <c r="F48" s="17">
        <v>50.0</v>
      </c>
      <c r="G48" s="3">
        <v>44462.73488425926</v>
      </c>
      <c r="K48" s="3"/>
    </row>
    <row r="49">
      <c r="A49" s="17">
        <v>3.250000000000009</v>
      </c>
      <c r="B49" s="17">
        <v>228.4</v>
      </c>
      <c r="C49" s="1">
        <v>479.1399999999995</v>
      </c>
      <c r="D49" s="17">
        <v>4.5</v>
      </c>
      <c r="E49" s="17">
        <v>0.65</v>
      </c>
      <c r="F49" s="17">
        <v>50.0</v>
      </c>
      <c r="G49" s="3">
        <v>44462.734988425924</v>
      </c>
      <c r="K49" s="3"/>
    </row>
    <row r="50">
      <c r="A50" s="17">
        <v>3.240000000000009</v>
      </c>
      <c r="B50" s="17">
        <v>228.4</v>
      </c>
      <c r="C50" s="1">
        <v>477.5599999999995</v>
      </c>
      <c r="D50" s="17">
        <v>4.5</v>
      </c>
      <c r="E50" s="17">
        <v>0.65</v>
      </c>
      <c r="F50" s="17">
        <v>50.0</v>
      </c>
      <c r="G50" s="3">
        <v>44462.73509259259</v>
      </c>
      <c r="K50" s="3"/>
    </row>
    <row r="51">
      <c r="A51" s="17">
        <v>3.2300000000000093</v>
      </c>
      <c r="B51" s="17">
        <v>228.4</v>
      </c>
      <c r="C51" s="1">
        <v>475.9799999999995</v>
      </c>
      <c r="D51" s="17">
        <v>4.5</v>
      </c>
      <c r="E51" s="17">
        <v>0.65</v>
      </c>
      <c r="F51" s="17">
        <v>50.0</v>
      </c>
      <c r="G51" s="3">
        <v>44462.73519675926</v>
      </c>
      <c r="K51" s="3"/>
    </row>
    <row r="52">
      <c r="A52" s="2">
        <v>3.18</v>
      </c>
      <c r="B52" s="17">
        <v>228.4</v>
      </c>
      <c r="C52" s="2">
        <v>470.4</v>
      </c>
      <c r="D52" s="17">
        <v>4.5</v>
      </c>
      <c r="E52" s="17">
        <v>0.65</v>
      </c>
      <c r="F52" s="17">
        <v>50.0</v>
      </c>
      <c r="G52" s="3">
        <v>44462.735300925924</v>
      </c>
      <c r="K52" s="3"/>
    </row>
    <row r="53">
      <c r="A53" s="2">
        <v>3.16</v>
      </c>
      <c r="B53" s="2">
        <v>228.4</v>
      </c>
      <c r="C53" s="2">
        <v>464.8</v>
      </c>
      <c r="D53" s="2">
        <v>4.56</v>
      </c>
      <c r="E53" s="2">
        <v>0.64</v>
      </c>
      <c r="F53" s="2">
        <v>50.0</v>
      </c>
      <c r="G53" s="3">
        <v>44462.73540509259</v>
      </c>
      <c r="K53" s="3"/>
    </row>
    <row r="54">
      <c r="A54" s="2">
        <v>3.14</v>
      </c>
      <c r="B54" s="2">
        <v>228.4</v>
      </c>
      <c r="C54" s="2">
        <v>461.8</v>
      </c>
      <c r="D54" s="2">
        <v>4.56</v>
      </c>
      <c r="E54" s="2">
        <v>0.64</v>
      </c>
      <c r="F54" s="2">
        <v>50.0</v>
      </c>
      <c r="G54" s="3">
        <v>44462.73550925926</v>
      </c>
      <c r="K54" s="3"/>
    </row>
    <row r="55">
      <c r="A55" s="2">
        <v>3.11</v>
      </c>
      <c r="B55" s="2">
        <v>228.6</v>
      </c>
      <c r="C55" s="2">
        <v>458.5</v>
      </c>
      <c r="D55" s="2">
        <v>4.56</v>
      </c>
      <c r="E55" s="2">
        <v>0.65</v>
      </c>
      <c r="F55" s="2">
        <v>50.0</v>
      </c>
      <c r="G55" s="3">
        <v>44462.735613425924</v>
      </c>
      <c r="K55" s="3"/>
    </row>
    <row r="56">
      <c r="A56" s="2">
        <v>3.1</v>
      </c>
      <c r="B56" s="2">
        <v>228.7</v>
      </c>
      <c r="C56" s="2">
        <v>456.7</v>
      </c>
      <c r="D56" s="2">
        <v>4.56</v>
      </c>
      <c r="E56" s="2">
        <v>0.64</v>
      </c>
      <c r="F56" s="2">
        <v>50.0</v>
      </c>
      <c r="G56" s="3">
        <v>44462.73571759259</v>
      </c>
      <c r="K56" s="3"/>
    </row>
    <row r="57">
      <c r="A57" s="2">
        <v>3.09</v>
      </c>
      <c r="B57" s="2">
        <v>228.6</v>
      </c>
      <c r="C57" s="2">
        <v>455.0</v>
      </c>
      <c r="D57" s="2">
        <v>4.56</v>
      </c>
      <c r="E57" s="2">
        <v>0.64</v>
      </c>
      <c r="F57" s="2">
        <v>50.0</v>
      </c>
      <c r="G57" s="3">
        <v>44462.73582175926</v>
      </c>
    </row>
    <row r="58">
      <c r="A58" s="2">
        <v>3.07</v>
      </c>
      <c r="B58" s="2">
        <v>228.5</v>
      </c>
      <c r="C58" s="2">
        <v>453.1</v>
      </c>
      <c r="D58" s="2">
        <v>4.56</v>
      </c>
      <c r="E58" s="2">
        <v>0.65</v>
      </c>
      <c r="F58" s="2">
        <v>50.0</v>
      </c>
      <c r="G58" s="3">
        <v>44462.735925925925</v>
      </c>
    </row>
    <row r="59">
      <c r="A59" s="2">
        <v>3.06</v>
      </c>
      <c r="B59" s="2">
        <v>228.5</v>
      </c>
      <c r="C59" s="2">
        <v>451.4</v>
      </c>
      <c r="D59" s="2">
        <v>4.56</v>
      </c>
      <c r="E59" s="2">
        <v>0.64</v>
      </c>
      <c r="F59" s="2">
        <v>50.0</v>
      </c>
      <c r="G59" s="3">
        <v>44462.736030092594</v>
      </c>
    </row>
    <row r="60">
      <c r="A60" s="2">
        <v>3.05</v>
      </c>
      <c r="B60" s="2">
        <v>228.3</v>
      </c>
      <c r="C60" s="2">
        <v>449.5</v>
      </c>
      <c r="D60" s="2">
        <v>4.56</v>
      </c>
      <c r="E60" s="2">
        <v>0.64</v>
      </c>
      <c r="F60" s="2">
        <v>50.0</v>
      </c>
      <c r="G60" s="3">
        <v>44462.736134259256</v>
      </c>
      <c r="H60" s="18"/>
    </row>
    <row r="74">
      <c r="B74" s="19"/>
      <c r="C74" s="19"/>
    </row>
    <row r="75">
      <c r="B75" s="19"/>
      <c r="C75" s="19"/>
    </row>
    <row r="76">
      <c r="B76" s="19"/>
      <c r="C76" s="19"/>
    </row>
    <row r="77">
      <c r="B77" s="19"/>
      <c r="C77" s="19"/>
    </row>
    <row r="78">
      <c r="B78" s="19"/>
      <c r="C78" s="19"/>
    </row>
    <row r="79">
      <c r="B79" s="19"/>
      <c r="C79" s="19"/>
    </row>
    <row r="80">
      <c r="B80" s="19"/>
      <c r="C80" s="19"/>
    </row>
    <row r="81">
      <c r="B81" s="19"/>
      <c r="C81" s="19"/>
    </row>
    <row r="82">
      <c r="B82" s="19"/>
      <c r="C82" s="19"/>
    </row>
    <row r="83">
      <c r="G83" s="19"/>
      <c r="H83" s="19"/>
    </row>
    <row r="84">
      <c r="G84" s="19"/>
      <c r="H84" s="19"/>
    </row>
    <row r="85">
      <c r="G85" s="19"/>
      <c r="H85" s="19"/>
    </row>
    <row r="86">
      <c r="G86" s="19"/>
      <c r="H86" s="19"/>
    </row>
    <row r="87">
      <c r="G87" s="19"/>
      <c r="H87" s="19"/>
    </row>
    <row r="88">
      <c r="G88" s="19"/>
      <c r="H88" s="19"/>
    </row>
    <row r="89">
      <c r="G89" s="19"/>
      <c r="H89" s="19"/>
    </row>
    <row r="90">
      <c r="G90" s="19"/>
      <c r="H90" s="19"/>
    </row>
    <row r="91">
      <c r="G91" s="19"/>
      <c r="H91" s="19"/>
    </row>
    <row r="92">
      <c r="G92" s="19"/>
      <c r="H92" s="19"/>
    </row>
    <row r="93">
      <c r="G93" s="19"/>
      <c r="H93" s="19"/>
    </row>
    <row r="94">
      <c r="G94" s="19"/>
      <c r="H94" s="19"/>
    </row>
    <row r="95">
      <c r="G95" s="19"/>
      <c r="H95" s="19"/>
    </row>
    <row r="96">
      <c r="G96" s="19"/>
      <c r="H96" s="19"/>
    </row>
    <row r="97">
      <c r="G97" s="19"/>
      <c r="H97" s="19"/>
    </row>
    <row r="98">
      <c r="G98" s="19"/>
      <c r="H98" s="19"/>
    </row>
    <row r="99">
      <c r="G99" s="19"/>
      <c r="H99" s="19"/>
    </row>
    <row r="100">
      <c r="G100" s="19"/>
      <c r="H100" s="19"/>
    </row>
    <row r="101">
      <c r="G101" s="19"/>
      <c r="H101" s="19"/>
    </row>
    <row r="102">
      <c r="G102" s="19"/>
      <c r="H102" s="19"/>
    </row>
    <row r="103">
      <c r="G103" s="19"/>
      <c r="H103" s="19"/>
    </row>
    <row r="104">
      <c r="G104" s="19"/>
      <c r="H104" s="19"/>
    </row>
    <row r="105">
      <c r="G105" s="19"/>
      <c r="H105" s="19"/>
    </row>
    <row r="106">
      <c r="G106" s="19"/>
      <c r="H106" s="19"/>
    </row>
    <row r="107">
      <c r="G107" s="19"/>
      <c r="H107" s="19"/>
    </row>
    <row r="108">
      <c r="G108" s="19"/>
      <c r="H108" s="19"/>
    </row>
    <row r="109">
      <c r="G109" s="19"/>
      <c r="H109" s="19"/>
    </row>
    <row r="110">
      <c r="G110" s="19"/>
      <c r="H110" s="19"/>
    </row>
    <row r="111">
      <c r="G111" s="19"/>
      <c r="H111" s="19"/>
    </row>
    <row r="112">
      <c r="G112" s="19"/>
      <c r="H112" s="19"/>
    </row>
    <row r="113">
      <c r="G113" s="19"/>
      <c r="H113" s="19"/>
    </row>
    <row r="114">
      <c r="G114" s="19"/>
      <c r="H114" s="19"/>
    </row>
    <row r="115">
      <c r="G115" s="19"/>
      <c r="H115" s="19"/>
    </row>
    <row r="116">
      <c r="G116" s="19"/>
      <c r="H116" s="19"/>
    </row>
    <row r="117">
      <c r="G117" s="19"/>
      <c r="H117" s="19"/>
    </row>
    <row r="118">
      <c r="G118" s="19"/>
      <c r="H118" s="19"/>
    </row>
    <row r="119">
      <c r="G119" s="19"/>
      <c r="H119" s="19"/>
    </row>
    <row r="120">
      <c r="G120" s="19"/>
      <c r="H120" s="19"/>
    </row>
    <row r="121">
      <c r="G121" s="19"/>
      <c r="H121" s="19"/>
    </row>
    <row r="122">
      <c r="G122" s="19"/>
      <c r="H122" s="19"/>
    </row>
    <row r="123">
      <c r="G123" s="19"/>
      <c r="H123" s="19"/>
    </row>
    <row r="124">
      <c r="G124" s="19"/>
      <c r="H124" s="19"/>
    </row>
    <row r="125">
      <c r="G125" s="19"/>
      <c r="H125" s="19"/>
    </row>
    <row r="126">
      <c r="G126" s="19"/>
      <c r="H126" s="19"/>
    </row>
    <row r="127">
      <c r="G127" s="19"/>
      <c r="H127" s="19"/>
    </row>
    <row r="128">
      <c r="G128" s="19"/>
      <c r="H128" s="19"/>
    </row>
    <row r="129">
      <c r="G129" s="19"/>
      <c r="H129" s="19"/>
    </row>
    <row r="130">
      <c r="G130" s="19"/>
      <c r="H130" s="19"/>
    </row>
    <row r="131">
      <c r="G131" s="19"/>
      <c r="H131" s="19"/>
    </row>
    <row r="132">
      <c r="G132" s="19"/>
      <c r="H132" s="19"/>
    </row>
    <row r="133">
      <c r="G133" s="19"/>
      <c r="H133" s="19"/>
    </row>
    <row r="134">
      <c r="G134" s="19"/>
      <c r="H134" s="19"/>
    </row>
    <row r="135">
      <c r="G135" s="19"/>
      <c r="H135" s="19"/>
    </row>
    <row r="136">
      <c r="G136" s="19"/>
      <c r="H136" s="19"/>
    </row>
    <row r="137">
      <c r="G137" s="19"/>
      <c r="H137" s="19"/>
    </row>
    <row r="138">
      <c r="G138" s="19"/>
      <c r="H138" s="19"/>
    </row>
    <row r="139">
      <c r="G139" s="19"/>
      <c r="H139" s="19"/>
    </row>
    <row r="140">
      <c r="G140" s="19"/>
      <c r="H140" s="19"/>
    </row>
    <row r="141">
      <c r="G141" s="19"/>
      <c r="H141" s="19"/>
    </row>
    <row r="142">
      <c r="G142" s="19"/>
      <c r="H142" s="19"/>
    </row>
    <row r="143">
      <c r="G143" s="19"/>
      <c r="H143" s="19"/>
    </row>
    <row r="144">
      <c r="G144" s="19"/>
      <c r="H144" s="19"/>
    </row>
    <row r="145">
      <c r="G145" s="19"/>
      <c r="H145" s="19"/>
    </row>
    <row r="146">
      <c r="G146" s="19"/>
      <c r="H146" s="19"/>
    </row>
    <row r="147">
      <c r="G147" s="19"/>
      <c r="H147" s="19"/>
    </row>
    <row r="148">
      <c r="G148" s="19"/>
      <c r="H148" s="19"/>
    </row>
    <row r="149">
      <c r="G149" s="19"/>
      <c r="H149" s="19"/>
    </row>
    <row r="150">
      <c r="G150" s="19"/>
      <c r="H150" s="19"/>
    </row>
    <row r="151">
      <c r="G151" s="19"/>
      <c r="H151" s="19"/>
    </row>
    <row r="152">
      <c r="G152" s="19"/>
      <c r="H152" s="19"/>
    </row>
    <row r="153">
      <c r="G153" s="19"/>
      <c r="H153" s="19"/>
    </row>
    <row r="154">
      <c r="G154" s="19"/>
      <c r="H154" s="19"/>
    </row>
    <row r="155">
      <c r="G155" s="19"/>
      <c r="H155" s="19"/>
    </row>
    <row r="156">
      <c r="G156" s="19"/>
      <c r="H156" s="19"/>
    </row>
    <row r="157">
      <c r="G157" s="19"/>
      <c r="H157" s="19"/>
    </row>
    <row r="158">
      <c r="G158" s="19"/>
      <c r="H158" s="19"/>
    </row>
    <row r="159">
      <c r="G159" s="19"/>
      <c r="H159" s="19"/>
    </row>
    <row r="160">
      <c r="G160" s="19"/>
      <c r="H160" s="19"/>
    </row>
    <row r="161">
      <c r="G161" s="19"/>
      <c r="H161" s="19"/>
    </row>
    <row r="162">
      <c r="G162" s="19"/>
      <c r="H162" s="19"/>
    </row>
    <row r="163">
      <c r="G163" s="19"/>
      <c r="H163" s="19"/>
    </row>
    <row r="164">
      <c r="G164" s="19"/>
      <c r="H164" s="19"/>
    </row>
    <row r="165">
      <c r="G165" s="19"/>
      <c r="H165" s="19"/>
    </row>
    <row r="166">
      <c r="G166" s="19"/>
      <c r="H166" s="19"/>
    </row>
    <row r="167">
      <c r="G167" s="19"/>
      <c r="H167" s="19"/>
    </row>
    <row r="168">
      <c r="G168" s="19"/>
      <c r="H168" s="19"/>
    </row>
    <row r="169">
      <c r="G169" s="19"/>
      <c r="H169" s="19"/>
    </row>
    <row r="170">
      <c r="G170" s="19"/>
      <c r="H170" s="19"/>
    </row>
    <row r="171">
      <c r="G171" s="19"/>
      <c r="H171" s="19"/>
    </row>
    <row r="172">
      <c r="G172" s="19"/>
      <c r="H172" s="19"/>
    </row>
    <row r="173">
      <c r="G173" s="19"/>
      <c r="H173" s="19"/>
    </row>
    <row r="174">
      <c r="G174" s="19"/>
      <c r="H174" s="19"/>
    </row>
    <row r="175">
      <c r="G175" s="19"/>
      <c r="H175" s="19"/>
    </row>
    <row r="176">
      <c r="G176" s="19"/>
      <c r="H176" s="19"/>
    </row>
    <row r="177">
      <c r="G177" s="19"/>
      <c r="H177" s="19"/>
    </row>
    <row r="178">
      <c r="G178" s="19"/>
      <c r="H178" s="19"/>
    </row>
    <row r="179">
      <c r="G179" s="19"/>
      <c r="H179" s="19"/>
    </row>
    <row r="180">
      <c r="G180" s="19"/>
      <c r="H180" s="19"/>
    </row>
    <row r="181">
      <c r="G181" s="19"/>
      <c r="H181" s="19"/>
    </row>
    <row r="182">
      <c r="G182" s="19"/>
      <c r="H182" s="19"/>
    </row>
    <row r="183">
      <c r="G183" s="19"/>
      <c r="H183" s="19"/>
    </row>
    <row r="184">
      <c r="G184" s="19"/>
      <c r="H184" s="19"/>
    </row>
    <row r="185">
      <c r="G185" s="19"/>
      <c r="H185" s="19"/>
    </row>
    <row r="186">
      <c r="G186" s="19"/>
      <c r="H186" s="19"/>
    </row>
    <row r="187">
      <c r="G187" s="19"/>
      <c r="H187" s="19"/>
    </row>
    <row r="188">
      <c r="G188" s="19"/>
      <c r="H188" s="19"/>
    </row>
    <row r="189">
      <c r="G189" s="19"/>
      <c r="H189" s="19"/>
    </row>
    <row r="190">
      <c r="G190" s="19"/>
      <c r="H190" s="19"/>
    </row>
    <row r="191">
      <c r="G191" s="19"/>
      <c r="H191" s="19"/>
    </row>
    <row r="192">
      <c r="G192" s="19"/>
      <c r="H192" s="19"/>
    </row>
    <row r="193">
      <c r="G193" s="19"/>
      <c r="H193" s="19"/>
    </row>
    <row r="194">
      <c r="G194" s="19"/>
      <c r="H194" s="19"/>
    </row>
    <row r="195">
      <c r="G195" s="19"/>
      <c r="H195" s="19"/>
    </row>
    <row r="196">
      <c r="G196" s="19"/>
      <c r="H196" s="19"/>
    </row>
    <row r="197">
      <c r="G197" s="19"/>
      <c r="H197" s="19"/>
    </row>
    <row r="198">
      <c r="G198" s="19"/>
      <c r="H198" s="19"/>
    </row>
    <row r="199">
      <c r="G199" s="19"/>
      <c r="H199" s="19"/>
    </row>
    <row r="200">
      <c r="G200" s="19"/>
      <c r="H200" s="19"/>
    </row>
    <row r="201">
      <c r="G201" s="19"/>
      <c r="H201" s="19"/>
    </row>
    <row r="202">
      <c r="G202" s="19"/>
      <c r="H202" s="19"/>
    </row>
    <row r="203">
      <c r="G203" s="19"/>
      <c r="H203" s="19"/>
    </row>
    <row r="204">
      <c r="G204" s="19"/>
      <c r="H204" s="19"/>
    </row>
    <row r="205">
      <c r="G205" s="19"/>
      <c r="H205" s="19"/>
    </row>
    <row r="206">
      <c r="G206" s="19"/>
      <c r="H206" s="19"/>
    </row>
    <row r="207">
      <c r="G207" s="19"/>
      <c r="H207" s="19"/>
    </row>
    <row r="208">
      <c r="G208" s="19"/>
      <c r="H208" s="19"/>
    </row>
    <row r="209">
      <c r="G209" s="19"/>
      <c r="H209" s="19"/>
    </row>
    <row r="210">
      <c r="G210" s="19"/>
      <c r="H210" s="19"/>
    </row>
    <row r="211">
      <c r="G211" s="19"/>
      <c r="H211" s="19"/>
    </row>
    <row r="212">
      <c r="G212" s="19"/>
      <c r="H212" s="19"/>
    </row>
    <row r="213">
      <c r="G213" s="19"/>
      <c r="H213" s="19"/>
    </row>
    <row r="214">
      <c r="G214" s="19"/>
      <c r="H214" s="19"/>
    </row>
    <row r="215">
      <c r="G215" s="19"/>
      <c r="H215" s="19"/>
    </row>
    <row r="216">
      <c r="G216" s="19"/>
      <c r="H216" s="19"/>
    </row>
    <row r="217">
      <c r="G217" s="19"/>
      <c r="H217" s="19"/>
    </row>
    <row r="218">
      <c r="A218" s="2">
        <v>3.66</v>
      </c>
      <c r="B218" s="2">
        <v>227.5</v>
      </c>
      <c r="C218" s="2">
        <v>545.4</v>
      </c>
      <c r="D218" s="2">
        <v>4.49</v>
      </c>
      <c r="E218" s="2">
        <v>0.65</v>
      </c>
      <c r="F218" s="2">
        <v>49.9</v>
      </c>
      <c r="G218" s="3">
        <v>44462.73010271991</v>
      </c>
      <c r="H218" s="19"/>
    </row>
    <row r="219">
      <c r="A219" s="2">
        <v>3.66</v>
      </c>
      <c r="B219" s="2">
        <v>227.6</v>
      </c>
      <c r="C219" s="2">
        <v>545.4</v>
      </c>
      <c r="D219" s="2">
        <v>4.49</v>
      </c>
      <c r="E219" s="2">
        <v>0.65</v>
      </c>
      <c r="F219" s="2">
        <v>49.9</v>
      </c>
      <c r="G219" s="3">
        <v>44462.73020521991</v>
      </c>
      <c r="H219" s="19"/>
    </row>
    <row r="220">
      <c r="A220" s="2">
        <v>3.66</v>
      </c>
      <c r="B220" s="2">
        <v>227.7</v>
      </c>
      <c r="C220" s="2">
        <v>545.4</v>
      </c>
      <c r="D220" s="2">
        <v>4.49</v>
      </c>
      <c r="E220" s="2">
        <v>0.65</v>
      </c>
      <c r="F220" s="2">
        <v>49.9</v>
      </c>
      <c r="G220" s="3">
        <v>44462.73030688657</v>
      </c>
      <c r="H220" s="19"/>
    </row>
    <row r="221">
      <c r="A221" s="2">
        <v>3.66</v>
      </c>
      <c r="B221" s="2">
        <v>227.7</v>
      </c>
      <c r="C221" s="2">
        <v>545.4</v>
      </c>
      <c r="D221" s="2">
        <v>4.49</v>
      </c>
      <c r="E221" s="2">
        <v>0.65</v>
      </c>
      <c r="F221" s="2">
        <v>50.0</v>
      </c>
      <c r="G221" s="3">
        <v>44462.73040760416</v>
      </c>
      <c r="H221" s="19"/>
    </row>
    <row r="222">
      <c r="A222" s="2">
        <v>3.66</v>
      </c>
      <c r="B222" s="2">
        <v>227.8</v>
      </c>
      <c r="C222" s="2">
        <v>545.5</v>
      </c>
      <c r="D222" s="2">
        <v>4.49</v>
      </c>
      <c r="E222" s="2">
        <v>0.65</v>
      </c>
      <c r="F222" s="2">
        <v>50.0</v>
      </c>
      <c r="G222" s="3">
        <v>44462.730507615735</v>
      </c>
      <c r="H222" s="19"/>
    </row>
    <row r="223">
      <c r="A223" s="2">
        <v>3.67</v>
      </c>
      <c r="B223" s="2">
        <v>227.7</v>
      </c>
      <c r="C223" s="2">
        <v>545.5</v>
      </c>
      <c r="D223" s="2">
        <v>4.5</v>
      </c>
      <c r="E223" s="2">
        <v>0.65</v>
      </c>
      <c r="F223" s="2">
        <v>50.0</v>
      </c>
      <c r="G223" s="3">
        <v>44462.73060814815</v>
      </c>
      <c r="H223" s="19"/>
    </row>
    <row r="224">
      <c r="A224" s="2">
        <v>3.67</v>
      </c>
      <c r="B224" s="2">
        <v>227.7</v>
      </c>
      <c r="C224" s="2">
        <v>545.6</v>
      </c>
      <c r="D224" s="2">
        <v>4.5</v>
      </c>
      <c r="E224" s="2">
        <v>0.65</v>
      </c>
      <c r="F224" s="2">
        <v>50.0</v>
      </c>
      <c r="G224" s="3">
        <v>44462.73071398148</v>
      </c>
      <c r="H224" s="19"/>
    </row>
    <row r="225">
      <c r="G225" s="3">
        <v>44462.730833333335</v>
      </c>
      <c r="H225" s="3">
        <v>1.0</v>
      </c>
    </row>
    <row r="226">
      <c r="G226" s="3">
        <v>44462.7309375</v>
      </c>
      <c r="H226" s="3">
        <v>2.0</v>
      </c>
    </row>
    <row r="227">
      <c r="G227" s="3">
        <v>44462.731041666666</v>
      </c>
      <c r="H227" s="3">
        <v>3.0</v>
      </c>
    </row>
    <row r="228">
      <c r="G228" s="3">
        <v>44462.731145833335</v>
      </c>
      <c r="H228" s="3">
        <v>4.0</v>
      </c>
    </row>
    <row r="229">
      <c r="G229" s="3">
        <v>44462.73125</v>
      </c>
      <c r="H229" s="3">
        <v>5.0</v>
      </c>
    </row>
    <row r="230">
      <c r="G230" s="3">
        <v>44462.731354166666</v>
      </c>
      <c r="H230" s="3">
        <v>6.0</v>
      </c>
    </row>
    <row r="231">
      <c r="G231" s="3">
        <v>44462.731458333335</v>
      </c>
      <c r="H231" s="3">
        <v>7.0</v>
      </c>
    </row>
    <row r="232">
      <c r="G232" s="3">
        <v>44462.7315625</v>
      </c>
      <c r="H232" s="3">
        <v>8.0</v>
      </c>
    </row>
    <row r="233">
      <c r="G233" s="3">
        <v>44462.73166666667</v>
      </c>
      <c r="H233" s="3">
        <v>9.0</v>
      </c>
    </row>
    <row r="234">
      <c r="G234" s="3">
        <v>44462.731770833336</v>
      </c>
      <c r="H234" s="3">
        <v>10.0</v>
      </c>
    </row>
    <row r="235">
      <c r="G235" s="3">
        <v>44462.731875</v>
      </c>
      <c r="H235" s="3">
        <v>11.0</v>
      </c>
    </row>
    <row r="236">
      <c r="G236" s="3">
        <v>44462.73197916667</v>
      </c>
      <c r="H236" s="3">
        <v>12.0</v>
      </c>
    </row>
    <row r="237">
      <c r="G237" s="3">
        <v>44462.732083333336</v>
      </c>
      <c r="H237" s="3">
        <v>13.0</v>
      </c>
    </row>
    <row r="238">
      <c r="G238" s="3">
        <v>44462.7321875</v>
      </c>
      <c r="H238" s="3">
        <v>14.0</v>
      </c>
    </row>
    <row r="239">
      <c r="G239" s="3">
        <v>44462.73229166667</v>
      </c>
      <c r="H239" s="3">
        <v>15.0</v>
      </c>
    </row>
    <row r="240">
      <c r="G240" s="3">
        <v>44462.732395833336</v>
      </c>
      <c r="H240" s="3">
        <v>16.0</v>
      </c>
    </row>
    <row r="241">
      <c r="G241" s="3">
        <v>44462.7325</v>
      </c>
      <c r="H241" s="3">
        <v>17.0</v>
      </c>
    </row>
    <row r="242">
      <c r="G242" s="3">
        <v>44462.73260416667</v>
      </c>
      <c r="H242" s="3">
        <v>18.0</v>
      </c>
    </row>
    <row r="243">
      <c r="G243" s="3">
        <v>44462.73270833334</v>
      </c>
      <c r="H243" s="3">
        <v>19.0</v>
      </c>
    </row>
    <row r="244">
      <c r="G244" s="3">
        <v>44462.7328125</v>
      </c>
      <c r="H244" s="3">
        <v>20.0</v>
      </c>
    </row>
    <row r="245">
      <c r="G245" s="3">
        <v>44462.73291666667</v>
      </c>
      <c r="H245" s="3">
        <v>21.0</v>
      </c>
    </row>
    <row r="246">
      <c r="G246" s="3">
        <v>44462.73302083334</v>
      </c>
      <c r="H246" s="3">
        <v>22.0</v>
      </c>
    </row>
    <row r="247">
      <c r="G247" s="3">
        <v>44462.733125</v>
      </c>
      <c r="H247" s="3">
        <v>23.0</v>
      </c>
    </row>
    <row r="248">
      <c r="G248" s="3">
        <v>44462.73322916667</v>
      </c>
      <c r="H248" s="3">
        <v>24.0</v>
      </c>
    </row>
    <row r="249">
      <c r="G249" s="3">
        <v>44462.73333333333</v>
      </c>
      <c r="H249" s="3">
        <v>25.0</v>
      </c>
    </row>
    <row r="250">
      <c r="G250" s="3">
        <v>44462.7334375</v>
      </c>
      <c r="H250" s="3">
        <v>26.0</v>
      </c>
    </row>
    <row r="251">
      <c r="G251" s="3">
        <v>44462.73354166667</v>
      </c>
      <c r="H251" s="3">
        <v>27.0</v>
      </c>
    </row>
    <row r="252">
      <c r="G252" s="3">
        <v>44462.73364583333</v>
      </c>
      <c r="H252" s="3">
        <v>28.0</v>
      </c>
    </row>
    <row r="253">
      <c r="G253" s="3">
        <v>44462.73375</v>
      </c>
      <c r="H253" s="3">
        <v>29.0</v>
      </c>
    </row>
    <row r="254">
      <c r="G254" s="3">
        <v>44462.73385416667</v>
      </c>
      <c r="H254" s="3">
        <v>30.0</v>
      </c>
    </row>
    <row r="255">
      <c r="G255" s="3">
        <v>44462.73395833333</v>
      </c>
      <c r="H255" s="3">
        <v>31.0</v>
      </c>
    </row>
    <row r="256">
      <c r="G256" s="3">
        <v>44462.7340625</v>
      </c>
      <c r="H256" s="3">
        <v>32.0</v>
      </c>
    </row>
    <row r="257">
      <c r="G257" s="3">
        <v>44462.73416666667</v>
      </c>
      <c r="H257" s="3">
        <v>33.0</v>
      </c>
    </row>
    <row r="258">
      <c r="G258" s="3">
        <v>44462.73427083333</v>
      </c>
      <c r="H258" s="3">
        <v>34.0</v>
      </c>
    </row>
    <row r="259">
      <c r="G259" s="3">
        <v>44462.734375</v>
      </c>
      <c r="H259" s="3">
        <v>35.0</v>
      </c>
    </row>
    <row r="260">
      <c r="G260" s="3">
        <v>44462.73447916667</v>
      </c>
      <c r="H260" s="3">
        <v>36.0</v>
      </c>
    </row>
    <row r="261">
      <c r="G261" s="3">
        <v>44462.73458333333</v>
      </c>
      <c r="H261" s="3">
        <v>37.0</v>
      </c>
    </row>
    <row r="262">
      <c r="G262" s="3">
        <v>44462.7346875</v>
      </c>
      <c r="H262" s="3">
        <v>38.0</v>
      </c>
    </row>
    <row r="263">
      <c r="G263" s="3">
        <v>44462.73479166667</v>
      </c>
      <c r="H263" s="3">
        <v>39.0</v>
      </c>
    </row>
    <row r="264">
      <c r="G264" s="3">
        <v>44462.73489583333</v>
      </c>
      <c r="H264" s="3">
        <v>40.0</v>
      </c>
    </row>
    <row r="265">
      <c r="G265" s="3">
        <v>44462.735</v>
      </c>
      <c r="H265" s="3">
        <v>41.0</v>
      </c>
    </row>
    <row r="266">
      <c r="G266" s="3">
        <v>44462.73510416667</v>
      </c>
      <c r="H266" s="3">
        <v>42.0</v>
      </c>
    </row>
    <row r="267">
      <c r="G267" s="3">
        <v>44462.73520833333</v>
      </c>
      <c r="H267" s="3">
        <v>43.0</v>
      </c>
    </row>
    <row r="268">
      <c r="G268" s="3">
        <v>44462.7353125</v>
      </c>
      <c r="H268" s="3">
        <v>44.0</v>
      </c>
    </row>
    <row r="269">
      <c r="G269" s="3">
        <v>44462.73541666667</v>
      </c>
      <c r="H269" s="3">
        <v>45.0</v>
      </c>
    </row>
    <row r="270">
      <c r="G270" s="3">
        <v>44462.73552083333</v>
      </c>
      <c r="H270" s="3">
        <v>46.0</v>
      </c>
    </row>
    <row r="271">
      <c r="G271" s="3"/>
      <c r="H271" s="19"/>
    </row>
    <row r="272">
      <c r="G272" s="3"/>
      <c r="H272" s="19"/>
    </row>
    <row r="273">
      <c r="G273" s="3"/>
      <c r="H273" s="19"/>
    </row>
    <row r="274">
      <c r="G274" s="3"/>
      <c r="H274" s="19"/>
    </row>
    <row r="275">
      <c r="G275" s="3"/>
      <c r="H275" s="19"/>
    </row>
    <row r="276">
      <c r="G276" s="3"/>
      <c r="H276" s="19"/>
    </row>
    <row r="277">
      <c r="G277" s="3"/>
      <c r="H277" s="19"/>
    </row>
    <row r="278">
      <c r="G278" s="3"/>
      <c r="H278" s="19"/>
    </row>
    <row r="279">
      <c r="G279" s="3"/>
      <c r="H279" s="19"/>
    </row>
    <row r="280">
      <c r="G280" s="3"/>
      <c r="H280" s="19"/>
    </row>
    <row r="281">
      <c r="G281" s="3"/>
      <c r="H281" s="19"/>
    </row>
    <row r="282">
      <c r="G282" s="3"/>
      <c r="H282" s="19"/>
    </row>
    <row r="283">
      <c r="G283" s="3"/>
      <c r="H283" s="19"/>
    </row>
    <row r="284">
      <c r="G284" s="3"/>
      <c r="H284" s="19"/>
    </row>
    <row r="285">
      <c r="G285" s="3"/>
      <c r="H285" s="19"/>
    </row>
    <row r="286">
      <c r="G286" s="3"/>
      <c r="H286" s="19"/>
    </row>
    <row r="287">
      <c r="G287" s="3"/>
      <c r="H287" s="19"/>
    </row>
    <row r="288">
      <c r="G288" s="3"/>
      <c r="H288" s="19"/>
    </row>
    <row r="289">
      <c r="G289" s="3"/>
      <c r="H289" s="19"/>
    </row>
    <row r="290">
      <c r="G290" s="3"/>
      <c r="H290" s="19"/>
    </row>
    <row r="291">
      <c r="G291" s="3"/>
      <c r="H291" s="19"/>
    </row>
    <row r="292">
      <c r="G292" s="3"/>
      <c r="H292" s="19"/>
    </row>
    <row r="293">
      <c r="G293" s="3"/>
      <c r="H293" s="19"/>
    </row>
    <row r="294">
      <c r="G294" s="3"/>
      <c r="H294" s="19"/>
    </row>
    <row r="295">
      <c r="G295" s="3"/>
      <c r="H295" s="19"/>
    </row>
    <row r="296">
      <c r="G296" s="3"/>
      <c r="H296" s="19"/>
    </row>
    <row r="297">
      <c r="G297" s="3"/>
      <c r="H297" s="19"/>
    </row>
    <row r="298">
      <c r="G298" s="3"/>
      <c r="H298" s="19"/>
    </row>
    <row r="299">
      <c r="G299" s="3"/>
      <c r="H299" s="19"/>
    </row>
    <row r="300">
      <c r="G300" s="3"/>
      <c r="H300" s="19"/>
    </row>
    <row r="301">
      <c r="G301" s="3"/>
      <c r="H301" s="19"/>
    </row>
    <row r="302">
      <c r="G302" s="3"/>
      <c r="H302" s="19"/>
    </row>
    <row r="303">
      <c r="G303" s="3"/>
      <c r="H303" s="19"/>
    </row>
    <row r="304">
      <c r="G304" s="3"/>
      <c r="H304" s="19"/>
    </row>
    <row r="305">
      <c r="G305" s="3"/>
      <c r="H305" s="19"/>
    </row>
    <row r="306">
      <c r="G306" s="3"/>
      <c r="H306" s="19"/>
    </row>
    <row r="307">
      <c r="G307" s="3"/>
      <c r="H307" s="19"/>
    </row>
    <row r="308">
      <c r="G308" s="19"/>
      <c r="H308" s="19"/>
    </row>
    <row r="309">
      <c r="G309" s="19"/>
      <c r="H309" s="19"/>
    </row>
    <row r="310">
      <c r="G310" s="19"/>
      <c r="H310" s="19"/>
    </row>
    <row r="311">
      <c r="G311" s="19"/>
      <c r="H311" s="19"/>
    </row>
    <row r="312">
      <c r="G312" s="19"/>
      <c r="H312" s="19"/>
    </row>
    <row r="313">
      <c r="G313" s="19"/>
      <c r="H313" s="19"/>
    </row>
    <row r="314">
      <c r="G314" s="19"/>
      <c r="H314" s="19"/>
    </row>
    <row r="315">
      <c r="G315" s="19"/>
      <c r="H315" s="19"/>
    </row>
    <row r="316">
      <c r="G316" s="19"/>
      <c r="H316" s="19"/>
    </row>
    <row r="317">
      <c r="G317" s="19"/>
      <c r="H317" s="19"/>
    </row>
    <row r="318">
      <c r="G318" s="19"/>
      <c r="H318" s="19"/>
    </row>
    <row r="319">
      <c r="G319" s="19"/>
      <c r="H319" s="19"/>
    </row>
    <row r="320">
      <c r="G320" s="19"/>
      <c r="H320" s="19"/>
    </row>
    <row r="321">
      <c r="G321" s="19"/>
      <c r="H321" s="19"/>
    </row>
    <row r="322">
      <c r="G322" s="19"/>
      <c r="H322" s="19"/>
    </row>
    <row r="323">
      <c r="G323" s="19"/>
      <c r="H323" s="19"/>
    </row>
    <row r="324">
      <c r="G324" s="19"/>
      <c r="H324" s="19"/>
    </row>
    <row r="325">
      <c r="G325" s="19"/>
      <c r="H325" s="19"/>
    </row>
    <row r="326">
      <c r="G326" s="19"/>
      <c r="H326" s="19"/>
    </row>
    <row r="327">
      <c r="G327" s="19"/>
      <c r="H327" s="19"/>
    </row>
    <row r="328">
      <c r="G328" s="19"/>
      <c r="H328" s="19"/>
    </row>
    <row r="329">
      <c r="G329" s="19"/>
      <c r="H329" s="19"/>
    </row>
    <row r="330">
      <c r="G330" s="19"/>
      <c r="H330" s="19"/>
    </row>
    <row r="331">
      <c r="G331" s="19"/>
      <c r="H331" s="19"/>
    </row>
    <row r="332">
      <c r="G332" s="19"/>
      <c r="H332" s="19"/>
    </row>
    <row r="333">
      <c r="G333" s="19"/>
      <c r="H333" s="19"/>
    </row>
    <row r="334">
      <c r="G334" s="19"/>
      <c r="H334" s="19"/>
    </row>
    <row r="335">
      <c r="G335" s="19"/>
      <c r="H335" s="19"/>
    </row>
    <row r="336">
      <c r="G336" s="19"/>
      <c r="H336" s="19"/>
    </row>
    <row r="337">
      <c r="G337" s="19"/>
      <c r="H337" s="19"/>
    </row>
    <row r="338">
      <c r="G338" s="19"/>
      <c r="H338" s="19"/>
    </row>
    <row r="339">
      <c r="G339" s="19"/>
      <c r="H339" s="19"/>
    </row>
    <row r="340">
      <c r="G340" s="19"/>
      <c r="H340" s="19"/>
    </row>
    <row r="341">
      <c r="G341" s="19"/>
      <c r="H341" s="19"/>
    </row>
    <row r="342">
      <c r="G342" s="19"/>
      <c r="H342" s="19"/>
    </row>
    <row r="343">
      <c r="G343" s="19"/>
      <c r="H343" s="19"/>
    </row>
    <row r="344">
      <c r="G344" s="19"/>
      <c r="H344" s="19"/>
    </row>
    <row r="345">
      <c r="G345" s="19"/>
      <c r="H345" s="19"/>
    </row>
    <row r="346">
      <c r="G346" s="19"/>
      <c r="H346" s="19"/>
    </row>
    <row r="347">
      <c r="G347" s="19"/>
      <c r="H347" s="19"/>
    </row>
    <row r="348">
      <c r="G348" s="19"/>
      <c r="H348" s="19"/>
    </row>
    <row r="349">
      <c r="G349" s="19"/>
      <c r="H349" s="19"/>
    </row>
    <row r="350">
      <c r="G350" s="19"/>
      <c r="H350" s="19"/>
    </row>
    <row r="351">
      <c r="G351" s="19"/>
      <c r="H351" s="19"/>
    </row>
    <row r="352">
      <c r="G352" s="19"/>
      <c r="H352" s="19"/>
    </row>
    <row r="353">
      <c r="G353" s="19"/>
      <c r="H353" s="19"/>
    </row>
    <row r="354">
      <c r="G354" s="19"/>
      <c r="H354" s="19"/>
    </row>
    <row r="355">
      <c r="G355" s="19"/>
      <c r="H355" s="19"/>
    </row>
    <row r="356">
      <c r="G356" s="19"/>
      <c r="H356" s="19"/>
    </row>
    <row r="357">
      <c r="G357" s="19"/>
      <c r="H357" s="19"/>
    </row>
    <row r="358">
      <c r="G358" s="19"/>
      <c r="H358" s="19"/>
    </row>
    <row r="359">
      <c r="G359" s="19"/>
      <c r="H359" s="19"/>
    </row>
    <row r="360">
      <c r="G360" s="19"/>
      <c r="H360" s="19"/>
    </row>
    <row r="361">
      <c r="G361" s="19"/>
      <c r="H361" s="19"/>
    </row>
    <row r="362">
      <c r="G362" s="19"/>
      <c r="H362" s="19"/>
    </row>
    <row r="363">
      <c r="G363" s="19"/>
      <c r="H363" s="19"/>
    </row>
    <row r="364">
      <c r="G364" s="19"/>
      <c r="H364" s="19"/>
    </row>
    <row r="365">
      <c r="G365" s="19"/>
      <c r="H365" s="19"/>
    </row>
    <row r="366">
      <c r="G366" s="19"/>
      <c r="H366" s="19"/>
    </row>
    <row r="367">
      <c r="G367" s="19"/>
      <c r="H367" s="19"/>
    </row>
    <row r="368">
      <c r="G368" s="19"/>
      <c r="H368" s="19"/>
    </row>
    <row r="369">
      <c r="G369" s="19"/>
      <c r="H369" s="19"/>
    </row>
    <row r="370">
      <c r="G370" s="19"/>
      <c r="H370" s="19"/>
    </row>
    <row r="371">
      <c r="G371" s="19"/>
      <c r="H371" s="19"/>
    </row>
    <row r="372">
      <c r="G372" s="19"/>
      <c r="H372" s="19"/>
    </row>
    <row r="373">
      <c r="G373" s="19"/>
      <c r="H373" s="19"/>
    </row>
    <row r="374">
      <c r="G374" s="19"/>
      <c r="H374" s="19"/>
    </row>
    <row r="375">
      <c r="G375" s="19"/>
      <c r="H375" s="19"/>
    </row>
    <row r="376">
      <c r="G376" s="19"/>
      <c r="H376" s="19"/>
    </row>
    <row r="377">
      <c r="G377" s="19"/>
      <c r="H377" s="19"/>
    </row>
    <row r="378">
      <c r="G378" s="19"/>
      <c r="H378" s="19"/>
    </row>
    <row r="379">
      <c r="G379" s="19"/>
      <c r="H379" s="19"/>
    </row>
    <row r="380">
      <c r="G380" s="19"/>
      <c r="H380" s="19"/>
    </row>
    <row r="381">
      <c r="G381" s="19"/>
      <c r="H381" s="19"/>
    </row>
    <row r="382">
      <c r="G382" s="19"/>
      <c r="H382" s="19"/>
    </row>
    <row r="383">
      <c r="G383" s="19"/>
      <c r="H383" s="19"/>
    </row>
    <row r="384">
      <c r="G384" s="19"/>
      <c r="H384" s="19"/>
    </row>
    <row r="385">
      <c r="G385" s="19"/>
      <c r="H385" s="19"/>
    </row>
    <row r="386">
      <c r="G386" s="19"/>
      <c r="H386" s="19"/>
    </row>
    <row r="387">
      <c r="G387" s="19"/>
      <c r="H387" s="19"/>
    </row>
    <row r="388">
      <c r="G388" s="19"/>
      <c r="H388" s="19"/>
    </row>
    <row r="389">
      <c r="G389" s="19"/>
      <c r="H389" s="19"/>
    </row>
    <row r="390">
      <c r="G390" s="19"/>
      <c r="H390" s="19"/>
    </row>
    <row r="391">
      <c r="G391" s="19"/>
      <c r="H391" s="19"/>
    </row>
    <row r="392">
      <c r="G392" s="19"/>
      <c r="H392" s="19"/>
    </row>
    <row r="393">
      <c r="G393" s="19"/>
      <c r="H393" s="19"/>
    </row>
    <row r="394">
      <c r="G394" s="19"/>
      <c r="H394" s="19"/>
    </row>
    <row r="395">
      <c r="G395" s="19"/>
      <c r="H395" s="19"/>
    </row>
    <row r="396">
      <c r="G396" s="19"/>
      <c r="H396" s="19"/>
    </row>
    <row r="397">
      <c r="G397" s="19"/>
      <c r="H397" s="19"/>
    </row>
    <row r="398">
      <c r="G398" s="19"/>
      <c r="H398" s="19"/>
    </row>
    <row r="399">
      <c r="G399" s="19"/>
      <c r="H399" s="19"/>
    </row>
    <row r="400">
      <c r="G400" s="19"/>
      <c r="H400" s="19"/>
    </row>
    <row r="401">
      <c r="G401" s="19"/>
      <c r="H401" s="19"/>
    </row>
    <row r="402">
      <c r="G402" s="19"/>
      <c r="H402" s="19"/>
    </row>
    <row r="403">
      <c r="G403" s="19"/>
      <c r="H403" s="19"/>
    </row>
    <row r="404">
      <c r="G404" s="19"/>
      <c r="H404" s="19"/>
    </row>
    <row r="405">
      <c r="G405" s="19"/>
      <c r="H405" s="19"/>
    </row>
    <row r="406">
      <c r="G406" s="19"/>
      <c r="H406" s="19"/>
    </row>
    <row r="407">
      <c r="G407" s="19"/>
      <c r="H407" s="19"/>
    </row>
    <row r="408">
      <c r="G408" s="19"/>
      <c r="H408" s="19"/>
    </row>
    <row r="409">
      <c r="G409" s="19"/>
      <c r="H409" s="19"/>
    </row>
    <row r="410">
      <c r="G410" s="19"/>
      <c r="H410" s="19"/>
    </row>
    <row r="411">
      <c r="G411" s="19"/>
      <c r="H411" s="19"/>
    </row>
    <row r="412">
      <c r="G412" s="19"/>
      <c r="H412" s="19"/>
    </row>
    <row r="413">
      <c r="G413" s="19"/>
      <c r="H413" s="19"/>
    </row>
    <row r="414">
      <c r="G414" s="19"/>
      <c r="H414" s="19"/>
    </row>
    <row r="415">
      <c r="G415" s="19"/>
      <c r="H415" s="19"/>
    </row>
    <row r="416">
      <c r="G416" s="19"/>
      <c r="H416" s="19"/>
    </row>
    <row r="417">
      <c r="G417" s="19"/>
      <c r="H417" s="19"/>
    </row>
    <row r="418">
      <c r="G418" s="19"/>
      <c r="H418" s="19"/>
    </row>
    <row r="419">
      <c r="G419" s="19"/>
      <c r="H419" s="19"/>
    </row>
    <row r="420">
      <c r="G420" s="19"/>
      <c r="H420" s="19"/>
    </row>
    <row r="421">
      <c r="G421" s="19"/>
      <c r="H421" s="19"/>
    </row>
    <row r="422">
      <c r="G422" s="19"/>
      <c r="H422" s="19"/>
    </row>
    <row r="423">
      <c r="G423" s="19"/>
      <c r="H423" s="19"/>
    </row>
    <row r="424">
      <c r="G424" s="19"/>
      <c r="H424" s="19"/>
    </row>
    <row r="425">
      <c r="G425" s="19"/>
      <c r="H425" s="19"/>
    </row>
    <row r="426">
      <c r="G426" s="19"/>
      <c r="H426" s="19"/>
    </row>
    <row r="427">
      <c r="G427" s="19"/>
      <c r="H427" s="19"/>
    </row>
    <row r="428">
      <c r="G428" s="19"/>
      <c r="H428" s="19"/>
    </row>
    <row r="429">
      <c r="G429" s="19"/>
      <c r="H429" s="19"/>
    </row>
    <row r="430">
      <c r="G430" s="19"/>
      <c r="H430" s="19"/>
    </row>
    <row r="431">
      <c r="G431" s="19"/>
      <c r="H431" s="19"/>
    </row>
    <row r="432">
      <c r="G432" s="19"/>
      <c r="H432" s="19"/>
    </row>
    <row r="433">
      <c r="G433" s="19"/>
      <c r="H433" s="19"/>
    </row>
    <row r="434">
      <c r="G434" s="19"/>
      <c r="H434" s="19"/>
    </row>
    <row r="435">
      <c r="G435" s="19"/>
      <c r="H435" s="19"/>
    </row>
    <row r="436">
      <c r="G436" s="19"/>
      <c r="H436" s="19"/>
    </row>
    <row r="437">
      <c r="G437" s="19"/>
      <c r="H437" s="19"/>
    </row>
    <row r="438">
      <c r="G438" s="19"/>
      <c r="H438" s="19"/>
    </row>
    <row r="439">
      <c r="G439" s="19"/>
      <c r="H439" s="19"/>
    </row>
    <row r="440">
      <c r="G440" s="19"/>
      <c r="H440" s="19"/>
    </row>
    <row r="441">
      <c r="G441" s="19"/>
      <c r="H441" s="19"/>
    </row>
    <row r="442">
      <c r="G442" s="19"/>
      <c r="H442" s="19"/>
    </row>
    <row r="443">
      <c r="G443" s="19"/>
      <c r="H443" s="19"/>
    </row>
    <row r="444">
      <c r="G444" s="19"/>
      <c r="H444" s="19"/>
    </row>
    <row r="445">
      <c r="G445" s="19"/>
      <c r="H445" s="19"/>
    </row>
    <row r="446">
      <c r="G446" s="19"/>
      <c r="H446" s="19"/>
    </row>
    <row r="447">
      <c r="G447" s="19"/>
      <c r="H447" s="19"/>
    </row>
    <row r="448">
      <c r="G448" s="19"/>
      <c r="H448" s="19"/>
    </row>
    <row r="449">
      <c r="G449" s="19"/>
      <c r="H449" s="19"/>
    </row>
    <row r="450">
      <c r="G450" s="19"/>
      <c r="H450" s="19"/>
    </row>
    <row r="451">
      <c r="G451" s="19"/>
      <c r="H451" s="19"/>
    </row>
    <row r="452">
      <c r="G452" s="19"/>
      <c r="H452" s="19"/>
    </row>
    <row r="453">
      <c r="G453" s="19"/>
      <c r="H453" s="19"/>
    </row>
    <row r="454">
      <c r="G454" s="19"/>
      <c r="H454" s="19"/>
    </row>
    <row r="455">
      <c r="G455" s="19"/>
      <c r="H455" s="19"/>
    </row>
    <row r="456">
      <c r="G456" s="19"/>
      <c r="H456" s="19"/>
    </row>
    <row r="457">
      <c r="G457" s="19"/>
      <c r="H457" s="19"/>
    </row>
    <row r="458">
      <c r="G458" s="19"/>
      <c r="H458" s="19"/>
    </row>
    <row r="459">
      <c r="G459" s="19"/>
      <c r="H459" s="19"/>
    </row>
    <row r="460">
      <c r="G460" s="19"/>
      <c r="H460" s="19"/>
    </row>
    <row r="461">
      <c r="G461" s="19"/>
      <c r="H461" s="19"/>
    </row>
    <row r="462">
      <c r="G462" s="19"/>
      <c r="H462" s="19"/>
    </row>
    <row r="463">
      <c r="G463" s="19"/>
      <c r="H463" s="19"/>
    </row>
    <row r="464">
      <c r="G464" s="19"/>
      <c r="H464" s="19"/>
    </row>
    <row r="465">
      <c r="G465" s="19"/>
      <c r="H465" s="19"/>
    </row>
    <row r="466">
      <c r="G466" s="19"/>
      <c r="H466" s="19"/>
    </row>
    <row r="467">
      <c r="G467" s="19"/>
      <c r="H467" s="19"/>
    </row>
    <row r="468">
      <c r="G468" s="19"/>
      <c r="H468" s="19"/>
    </row>
    <row r="469">
      <c r="G469" s="19"/>
      <c r="H469" s="19"/>
    </row>
    <row r="470">
      <c r="G470" s="19"/>
      <c r="H470" s="19"/>
    </row>
    <row r="471">
      <c r="G471" s="19"/>
      <c r="H471" s="19"/>
    </row>
    <row r="472">
      <c r="G472" s="19"/>
      <c r="H472" s="19"/>
    </row>
    <row r="473">
      <c r="G473" s="19"/>
      <c r="H473" s="19"/>
    </row>
    <row r="474">
      <c r="G474" s="19"/>
      <c r="H474" s="19"/>
    </row>
    <row r="475">
      <c r="G475" s="19"/>
      <c r="H475" s="19"/>
    </row>
    <row r="476">
      <c r="G476" s="19"/>
      <c r="H476" s="19"/>
    </row>
    <row r="477">
      <c r="G477" s="19"/>
      <c r="H477" s="19"/>
    </row>
    <row r="478">
      <c r="G478" s="19"/>
      <c r="H478" s="19"/>
    </row>
    <row r="479">
      <c r="G479" s="19"/>
      <c r="H479" s="19"/>
    </row>
    <row r="480">
      <c r="G480" s="19"/>
      <c r="H480" s="19"/>
    </row>
    <row r="481">
      <c r="G481" s="19"/>
      <c r="H481" s="19"/>
    </row>
    <row r="482">
      <c r="G482" s="19"/>
      <c r="H482" s="19"/>
    </row>
    <row r="483">
      <c r="G483" s="19"/>
      <c r="H483" s="19"/>
    </row>
    <row r="484">
      <c r="G484" s="19"/>
      <c r="H484" s="19"/>
    </row>
    <row r="485">
      <c r="G485" s="19"/>
      <c r="H485" s="19"/>
    </row>
    <row r="486">
      <c r="G486" s="19"/>
      <c r="H486" s="19"/>
    </row>
    <row r="487">
      <c r="G487" s="19"/>
      <c r="H487" s="19"/>
    </row>
    <row r="488">
      <c r="G488" s="19"/>
      <c r="H488" s="19"/>
    </row>
    <row r="489">
      <c r="G489" s="19"/>
      <c r="H489" s="19"/>
    </row>
    <row r="490">
      <c r="G490" s="19"/>
      <c r="H490" s="19"/>
    </row>
    <row r="491">
      <c r="G491" s="19"/>
      <c r="H491" s="19"/>
    </row>
    <row r="492">
      <c r="G492" s="19"/>
      <c r="H492" s="19"/>
    </row>
    <row r="493">
      <c r="G493" s="19"/>
      <c r="H493" s="19"/>
    </row>
    <row r="494">
      <c r="G494" s="19"/>
      <c r="H494" s="19"/>
    </row>
    <row r="495">
      <c r="G495" s="19"/>
      <c r="H495" s="19"/>
    </row>
    <row r="496">
      <c r="G496" s="19"/>
      <c r="H496" s="19"/>
    </row>
    <row r="497">
      <c r="G497" s="19"/>
      <c r="H497" s="19"/>
    </row>
    <row r="498">
      <c r="G498" s="19"/>
      <c r="H498" s="19"/>
    </row>
    <row r="499">
      <c r="G499" s="19"/>
      <c r="H499" s="19"/>
    </row>
    <row r="500">
      <c r="G500" s="19"/>
      <c r="H500" s="19"/>
    </row>
    <row r="501">
      <c r="G501" s="19"/>
      <c r="H501" s="19"/>
    </row>
    <row r="502">
      <c r="G502" s="19"/>
      <c r="H502" s="19"/>
    </row>
    <row r="503">
      <c r="G503" s="19"/>
      <c r="H503" s="19"/>
    </row>
    <row r="504">
      <c r="G504" s="19"/>
      <c r="H504" s="19"/>
    </row>
    <row r="505">
      <c r="G505" s="19"/>
      <c r="H505" s="19"/>
    </row>
    <row r="506">
      <c r="G506" s="19"/>
      <c r="H506" s="19"/>
    </row>
    <row r="507">
      <c r="G507" s="19"/>
      <c r="H507" s="19"/>
    </row>
    <row r="508">
      <c r="G508" s="19"/>
      <c r="H508" s="19"/>
    </row>
    <row r="509">
      <c r="G509" s="19"/>
      <c r="H509" s="19"/>
    </row>
    <row r="510">
      <c r="G510" s="19"/>
      <c r="H510" s="19"/>
    </row>
    <row r="511">
      <c r="G511" s="19"/>
      <c r="H511" s="19"/>
    </row>
    <row r="512">
      <c r="G512" s="19"/>
      <c r="H512" s="19"/>
    </row>
    <row r="513">
      <c r="G513" s="19"/>
      <c r="H513" s="19"/>
    </row>
    <row r="514">
      <c r="G514" s="19"/>
      <c r="H514" s="19"/>
    </row>
    <row r="515">
      <c r="G515" s="19"/>
      <c r="H515" s="19"/>
    </row>
    <row r="516">
      <c r="G516" s="19"/>
      <c r="H516" s="19"/>
    </row>
    <row r="517">
      <c r="G517" s="19"/>
      <c r="H517" s="19"/>
    </row>
    <row r="518">
      <c r="G518" s="19"/>
      <c r="H518" s="19"/>
    </row>
    <row r="519">
      <c r="G519" s="19"/>
      <c r="H519" s="19"/>
    </row>
    <row r="520">
      <c r="G520" s="19"/>
      <c r="H520" s="19"/>
    </row>
    <row r="521">
      <c r="G521" s="19"/>
      <c r="H521" s="19"/>
    </row>
    <row r="522">
      <c r="G522" s="19"/>
      <c r="H522" s="19"/>
    </row>
    <row r="523">
      <c r="G523" s="19"/>
      <c r="H523" s="19"/>
    </row>
    <row r="524">
      <c r="G524" s="19"/>
      <c r="H524" s="19"/>
    </row>
    <row r="525">
      <c r="G525" s="19"/>
      <c r="H525" s="19"/>
    </row>
    <row r="526">
      <c r="G526" s="19"/>
      <c r="H526" s="19"/>
    </row>
    <row r="527">
      <c r="G527" s="19"/>
      <c r="H527" s="19"/>
    </row>
    <row r="528">
      <c r="G528" s="19"/>
      <c r="H528" s="19"/>
    </row>
    <row r="529">
      <c r="G529" s="19"/>
      <c r="H529" s="19"/>
    </row>
    <row r="530">
      <c r="G530" s="19"/>
      <c r="H530" s="19"/>
    </row>
    <row r="531">
      <c r="G531" s="19"/>
      <c r="H531" s="19"/>
    </row>
    <row r="532">
      <c r="G532" s="19"/>
      <c r="H532" s="19"/>
    </row>
    <row r="533">
      <c r="G533" s="19"/>
      <c r="H533" s="19"/>
    </row>
    <row r="534">
      <c r="G534" s="19"/>
      <c r="H534" s="19"/>
    </row>
    <row r="535">
      <c r="G535" s="19"/>
      <c r="H535" s="19"/>
    </row>
    <row r="536">
      <c r="G536" s="19"/>
      <c r="H536" s="19"/>
    </row>
    <row r="537">
      <c r="G537" s="19"/>
      <c r="H537" s="19"/>
    </row>
    <row r="538">
      <c r="G538" s="19"/>
      <c r="H538" s="19"/>
    </row>
    <row r="539">
      <c r="G539" s="19"/>
      <c r="H539" s="19"/>
    </row>
    <row r="540">
      <c r="G540" s="19"/>
      <c r="H540" s="19"/>
    </row>
    <row r="541">
      <c r="G541" s="19"/>
      <c r="H541" s="19"/>
    </row>
    <row r="542">
      <c r="G542" s="19"/>
      <c r="H542" s="19"/>
    </row>
    <row r="543">
      <c r="G543" s="19"/>
      <c r="H543" s="19"/>
    </row>
    <row r="544">
      <c r="G544" s="19"/>
      <c r="H544" s="19"/>
    </row>
    <row r="545">
      <c r="G545" s="19"/>
      <c r="H545" s="19"/>
    </row>
    <row r="546">
      <c r="G546" s="19"/>
      <c r="H546" s="19"/>
    </row>
    <row r="547">
      <c r="G547" s="19"/>
      <c r="H547" s="19"/>
    </row>
    <row r="548">
      <c r="G548" s="19"/>
      <c r="H548" s="19"/>
    </row>
    <row r="549">
      <c r="G549" s="19"/>
      <c r="H549" s="19"/>
    </row>
    <row r="550">
      <c r="G550" s="19"/>
      <c r="H550" s="19"/>
    </row>
    <row r="551">
      <c r="G551" s="19"/>
      <c r="H551" s="19"/>
    </row>
    <row r="552">
      <c r="G552" s="19"/>
      <c r="H552" s="19"/>
    </row>
    <row r="553">
      <c r="G553" s="19"/>
      <c r="H553" s="19"/>
    </row>
    <row r="554">
      <c r="G554" s="19"/>
      <c r="H554" s="19"/>
    </row>
    <row r="555">
      <c r="G555" s="19"/>
      <c r="H555" s="19"/>
    </row>
    <row r="556">
      <c r="G556" s="19"/>
      <c r="H556" s="19"/>
    </row>
    <row r="557">
      <c r="G557" s="19"/>
      <c r="H557" s="19"/>
    </row>
    <row r="558">
      <c r="G558" s="19"/>
      <c r="H558" s="19"/>
    </row>
    <row r="559">
      <c r="G559" s="19"/>
      <c r="H559" s="19"/>
    </row>
    <row r="560">
      <c r="G560" s="19"/>
      <c r="H560" s="19"/>
    </row>
    <row r="561">
      <c r="G561" s="19"/>
      <c r="H561" s="19"/>
    </row>
    <row r="562">
      <c r="G562" s="19"/>
      <c r="H562" s="19"/>
    </row>
    <row r="563">
      <c r="G563" s="19"/>
      <c r="H563" s="19"/>
    </row>
    <row r="564">
      <c r="G564" s="19"/>
      <c r="H564" s="19"/>
    </row>
    <row r="565">
      <c r="G565" s="19"/>
      <c r="H565" s="19"/>
    </row>
    <row r="566">
      <c r="G566" s="19"/>
      <c r="H566" s="19"/>
    </row>
    <row r="567">
      <c r="G567" s="19"/>
      <c r="H567" s="19"/>
    </row>
    <row r="568">
      <c r="G568" s="19"/>
      <c r="H568" s="19"/>
    </row>
    <row r="569">
      <c r="G569" s="19"/>
      <c r="H569" s="19"/>
    </row>
    <row r="570">
      <c r="G570" s="19"/>
      <c r="H570" s="19"/>
    </row>
    <row r="571">
      <c r="G571" s="19"/>
      <c r="H571" s="19"/>
    </row>
    <row r="572">
      <c r="G572" s="19"/>
      <c r="H572" s="19"/>
    </row>
    <row r="573">
      <c r="G573" s="19"/>
      <c r="H573" s="19"/>
    </row>
    <row r="574">
      <c r="G574" s="19"/>
      <c r="H574" s="19"/>
    </row>
    <row r="575">
      <c r="G575" s="19"/>
      <c r="H575" s="19"/>
    </row>
    <row r="576">
      <c r="G576" s="19"/>
      <c r="H576" s="19"/>
    </row>
    <row r="577">
      <c r="G577" s="19"/>
      <c r="H577" s="19"/>
    </row>
    <row r="578">
      <c r="G578" s="19"/>
      <c r="H578" s="19"/>
    </row>
    <row r="579">
      <c r="G579" s="19"/>
      <c r="H579" s="19"/>
    </row>
    <row r="580">
      <c r="G580" s="19"/>
      <c r="H580" s="19"/>
    </row>
    <row r="581">
      <c r="G581" s="19"/>
      <c r="H581" s="19"/>
    </row>
    <row r="582">
      <c r="G582" s="19"/>
      <c r="H582" s="19"/>
    </row>
    <row r="583">
      <c r="G583" s="19"/>
      <c r="H583" s="19"/>
    </row>
    <row r="584">
      <c r="G584" s="19"/>
      <c r="H584" s="19"/>
    </row>
    <row r="585">
      <c r="G585" s="19"/>
      <c r="H585" s="19"/>
    </row>
    <row r="586">
      <c r="G586" s="19"/>
      <c r="H586" s="19"/>
    </row>
    <row r="587">
      <c r="G587" s="19"/>
      <c r="H587" s="19"/>
    </row>
    <row r="588">
      <c r="G588" s="19"/>
      <c r="H588" s="19"/>
    </row>
    <row r="589">
      <c r="G589" s="19"/>
      <c r="H589" s="19"/>
    </row>
    <row r="590">
      <c r="G590" s="19"/>
      <c r="H590" s="19"/>
    </row>
    <row r="591">
      <c r="G591" s="19"/>
      <c r="H591" s="19"/>
    </row>
    <row r="592">
      <c r="G592" s="19"/>
      <c r="H592" s="19"/>
    </row>
    <row r="593">
      <c r="G593" s="19"/>
      <c r="H593" s="19"/>
    </row>
    <row r="594">
      <c r="G594" s="19"/>
      <c r="H594" s="19"/>
    </row>
    <row r="595">
      <c r="G595" s="19"/>
      <c r="H595" s="19"/>
    </row>
    <row r="596">
      <c r="G596" s="19"/>
      <c r="H596" s="19"/>
    </row>
    <row r="597">
      <c r="G597" s="19"/>
      <c r="H597" s="19"/>
    </row>
    <row r="598">
      <c r="G598" s="19"/>
      <c r="H598" s="19"/>
    </row>
    <row r="599">
      <c r="G599" s="19"/>
      <c r="H599" s="19"/>
    </row>
    <row r="600">
      <c r="G600" s="19"/>
      <c r="H600" s="19"/>
    </row>
    <row r="601">
      <c r="G601" s="19"/>
      <c r="H601" s="19"/>
    </row>
    <row r="602">
      <c r="G602" s="19"/>
      <c r="H602" s="19"/>
    </row>
    <row r="603">
      <c r="G603" s="19"/>
      <c r="H603" s="19"/>
    </row>
    <row r="604">
      <c r="G604" s="19"/>
      <c r="H604" s="19"/>
    </row>
    <row r="605">
      <c r="G605" s="19"/>
      <c r="H605" s="19"/>
    </row>
    <row r="606">
      <c r="G606" s="19"/>
      <c r="H606" s="19"/>
    </row>
    <row r="607">
      <c r="G607" s="19"/>
      <c r="H607" s="19"/>
    </row>
    <row r="608">
      <c r="G608" s="19"/>
      <c r="H608" s="19"/>
    </row>
    <row r="609">
      <c r="G609" s="19"/>
      <c r="H609" s="19"/>
    </row>
    <row r="610">
      <c r="G610" s="19"/>
      <c r="H610" s="19"/>
    </row>
    <row r="611">
      <c r="G611" s="19"/>
      <c r="H611" s="19"/>
    </row>
    <row r="612">
      <c r="G612" s="19"/>
      <c r="H612" s="19"/>
    </row>
    <row r="613">
      <c r="G613" s="19"/>
      <c r="H613" s="19"/>
    </row>
    <row r="614">
      <c r="G614" s="19"/>
      <c r="H614" s="19"/>
    </row>
    <row r="615">
      <c r="G615" s="19"/>
      <c r="H615" s="19"/>
    </row>
    <row r="616">
      <c r="G616" s="19"/>
      <c r="H616" s="19"/>
    </row>
    <row r="617">
      <c r="G617" s="19"/>
      <c r="H617" s="19"/>
    </row>
    <row r="618">
      <c r="G618" s="19"/>
      <c r="H618" s="19"/>
    </row>
    <row r="619">
      <c r="G619" s="19"/>
      <c r="H619" s="19"/>
    </row>
    <row r="620">
      <c r="G620" s="19"/>
      <c r="H620" s="19"/>
    </row>
    <row r="621">
      <c r="G621" s="19"/>
      <c r="H621" s="19"/>
    </row>
    <row r="622">
      <c r="G622" s="19"/>
      <c r="H622" s="19"/>
    </row>
    <row r="623">
      <c r="G623" s="19"/>
      <c r="H623" s="19"/>
    </row>
    <row r="624">
      <c r="G624" s="19"/>
      <c r="H624" s="19"/>
    </row>
    <row r="625">
      <c r="G625" s="19"/>
      <c r="H625" s="19"/>
    </row>
    <row r="626">
      <c r="G626" s="19"/>
      <c r="H626" s="19"/>
    </row>
    <row r="627">
      <c r="G627" s="19"/>
      <c r="H627" s="19"/>
    </row>
    <row r="628">
      <c r="G628" s="19"/>
      <c r="H628" s="19"/>
    </row>
    <row r="629">
      <c r="G629" s="19"/>
      <c r="H629" s="19"/>
    </row>
    <row r="630">
      <c r="G630" s="19"/>
      <c r="H630" s="19"/>
    </row>
    <row r="631">
      <c r="G631" s="19"/>
      <c r="H631" s="19"/>
    </row>
    <row r="632">
      <c r="G632" s="19"/>
      <c r="H632" s="19"/>
    </row>
    <row r="633">
      <c r="G633" s="19"/>
      <c r="H633" s="19"/>
    </row>
    <row r="634">
      <c r="G634" s="19"/>
      <c r="H634" s="19"/>
    </row>
    <row r="635">
      <c r="G635" s="19"/>
      <c r="H635" s="19"/>
    </row>
    <row r="636">
      <c r="G636" s="19"/>
      <c r="H636" s="19"/>
    </row>
    <row r="637">
      <c r="G637" s="19"/>
      <c r="H637" s="19"/>
    </row>
    <row r="638">
      <c r="G638" s="19"/>
      <c r="H638" s="19"/>
    </row>
    <row r="639">
      <c r="G639" s="19"/>
      <c r="H639" s="19"/>
    </row>
    <row r="640">
      <c r="G640" s="19"/>
      <c r="H640" s="19"/>
    </row>
    <row r="641">
      <c r="G641" s="19"/>
      <c r="H641" s="19"/>
    </row>
    <row r="642">
      <c r="G642" s="19"/>
      <c r="H642" s="19"/>
    </row>
    <row r="643">
      <c r="G643" s="19"/>
      <c r="H643" s="19"/>
    </row>
    <row r="644">
      <c r="G644" s="19"/>
      <c r="H644" s="19"/>
    </row>
    <row r="645">
      <c r="G645" s="19"/>
      <c r="H645" s="19"/>
    </row>
    <row r="646">
      <c r="G646" s="19"/>
      <c r="H646" s="19"/>
    </row>
    <row r="647">
      <c r="G647" s="19"/>
      <c r="H647" s="19"/>
    </row>
    <row r="648">
      <c r="G648" s="19"/>
      <c r="H648" s="19"/>
    </row>
    <row r="649">
      <c r="G649" s="19"/>
      <c r="H649" s="19"/>
    </row>
    <row r="650">
      <c r="G650" s="19"/>
      <c r="H650" s="19"/>
    </row>
    <row r="651">
      <c r="G651" s="19"/>
      <c r="H651" s="19"/>
    </row>
    <row r="652">
      <c r="G652" s="19"/>
      <c r="H652" s="19"/>
    </row>
    <row r="653">
      <c r="G653" s="19"/>
      <c r="H653" s="19"/>
    </row>
    <row r="654">
      <c r="G654" s="19"/>
      <c r="H654" s="19"/>
    </row>
    <row r="655">
      <c r="G655" s="19"/>
      <c r="H655" s="19"/>
    </row>
    <row r="656">
      <c r="G656" s="19"/>
      <c r="H656" s="19"/>
    </row>
    <row r="657">
      <c r="G657" s="19"/>
      <c r="H657" s="19"/>
    </row>
    <row r="658">
      <c r="G658" s="19"/>
      <c r="H658" s="19"/>
    </row>
    <row r="659">
      <c r="G659" s="19"/>
      <c r="H659" s="19"/>
    </row>
    <row r="660">
      <c r="G660" s="19"/>
      <c r="H660" s="19"/>
    </row>
    <row r="661">
      <c r="G661" s="19"/>
      <c r="H661" s="19"/>
    </row>
    <row r="662">
      <c r="G662" s="19"/>
      <c r="H662" s="19"/>
    </row>
    <row r="663">
      <c r="G663" s="19"/>
      <c r="H663" s="19"/>
    </row>
    <row r="664">
      <c r="G664" s="19"/>
      <c r="H664" s="19"/>
    </row>
    <row r="665">
      <c r="G665" s="19"/>
      <c r="H665" s="19"/>
    </row>
    <row r="666">
      <c r="G666" s="19"/>
      <c r="H666" s="19"/>
    </row>
    <row r="667">
      <c r="G667" s="19"/>
      <c r="H667" s="19"/>
    </row>
    <row r="668">
      <c r="G668" s="19"/>
      <c r="H668" s="19"/>
    </row>
    <row r="669">
      <c r="G669" s="19"/>
      <c r="H669" s="19"/>
    </row>
    <row r="670">
      <c r="G670" s="19"/>
      <c r="H670" s="19"/>
    </row>
    <row r="671">
      <c r="G671" s="19"/>
      <c r="H671" s="19"/>
    </row>
    <row r="672">
      <c r="G672" s="19"/>
      <c r="H672" s="19"/>
    </row>
    <row r="673">
      <c r="G673" s="19"/>
      <c r="H673" s="19"/>
    </row>
    <row r="674">
      <c r="G674" s="19"/>
      <c r="H674" s="19"/>
    </row>
    <row r="675">
      <c r="G675" s="19"/>
      <c r="H675" s="19"/>
    </row>
    <row r="676">
      <c r="G676" s="19"/>
      <c r="H676" s="19"/>
    </row>
    <row r="677">
      <c r="G677" s="19"/>
      <c r="H677" s="19"/>
    </row>
    <row r="678">
      <c r="G678" s="19"/>
      <c r="H678" s="19"/>
    </row>
    <row r="679">
      <c r="G679" s="19"/>
      <c r="H679" s="19"/>
    </row>
    <row r="680">
      <c r="G680" s="19"/>
      <c r="H680" s="19"/>
    </row>
    <row r="681">
      <c r="G681" s="19"/>
      <c r="H681" s="19"/>
    </row>
    <row r="682">
      <c r="G682" s="19"/>
      <c r="H682" s="19"/>
    </row>
    <row r="683">
      <c r="G683" s="19"/>
      <c r="H683" s="19"/>
    </row>
    <row r="684">
      <c r="G684" s="19"/>
      <c r="H684" s="19"/>
    </row>
    <row r="685">
      <c r="G685" s="19"/>
      <c r="H685" s="19"/>
    </row>
    <row r="686">
      <c r="G686" s="19"/>
      <c r="H686" s="19"/>
    </row>
    <row r="687">
      <c r="G687" s="19"/>
      <c r="H687" s="19"/>
    </row>
    <row r="688">
      <c r="G688" s="19"/>
      <c r="H688" s="19"/>
    </row>
    <row r="689">
      <c r="G689" s="19"/>
      <c r="H689" s="19"/>
    </row>
    <row r="690">
      <c r="G690" s="19"/>
      <c r="H690" s="19"/>
    </row>
    <row r="691">
      <c r="G691" s="19"/>
      <c r="H691" s="19"/>
    </row>
    <row r="692">
      <c r="G692" s="19"/>
      <c r="H692" s="19"/>
    </row>
    <row r="693">
      <c r="G693" s="19"/>
      <c r="H693" s="19"/>
    </row>
    <row r="694">
      <c r="G694" s="19"/>
      <c r="H694" s="19"/>
    </row>
    <row r="695">
      <c r="G695" s="19"/>
      <c r="H695" s="19"/>
    </row>
    <row r="696">
      <c r="G696" s="19"/>
      <c r="H696" s="19"/>
    </row>
    <row r="697">
      <c r="G697" s="19"/>
      <c r="H697" s="19"/>
    </row>
    <row r="698">
      <c r="G698" s="19"/>
      <c r="H698" s="19"/>
    </row>
    <row r="699">
      <c r="G699" s="19"/>
      <c r="H699" s="19"/>
    </row>
    <row r="700">
      <c r="G700" s="19"/>
      <c r="H700" s="19"/>
    </row>
    <row r="701">
      <c r="G701" s="19"/>
      <c r="H701" s="19"/>
    </row>
    <row r="702">
      <c r="G702" s="19"/>
      <c r="H702" s="19"/>
    </row>
    <row r="703">
      <c r="G703" s="19"/>
      <c r="H703" s="19"/>
    </row>
    <row r="704">
      <c r="G704" s="19"/>
      <c r="H704" s="19"/>
    </row>
    <row r="705">
      <c r="G705" s="19"/>
      <c r="H705" s="19"/>
    </row>
    <row r="706">
      <c r="G706" s="19"/>
      <c r="H706" s="19"/>
    </row>
    <row r="707">
      <c r="G707" s="19"/>
      <c r="H707" s="19"/>
    </row>
    <row r="708">
      <c r="G708" s="19"/>
      <c r="H708" s="19"/>
    </row>
    <row r="709">
      <c r="G709" s="19"/>
      <c r="H709" s="19"/>
    </row>
    <row r="710">
      <c r="G710" s="19"/>
      <c r="H710" s="19"/>
    </row>
    <row r="711">
      <c r="G711" s="19"/>
      <c r="H711" s="19"/>
    </row>
    <row r="712">
      <c r="G712" s="19"/>
      <c r="H712" s="19"/>
    </row>
    <row r="713">
      <c r="G713" s="19"/>
      <c r="H713" s="19"/>
    </row>
    <row r="714">
      <c r="G714" s="19"/>
      <c r="H714" s="19"/>
    </row>
    <row r="715">
      <c r="G715" s="19"/>
      <c r="H715" s="19"/>
    </row>
    <row r="716">
      <c r="G716" s="19"/>
      <c r="H716" s="19"/>
    </row>
    <row r="717">
      <c r="G717" s="19"/>
      <c r="H717" s="19"/>
    </row>
    <row r="718">
      <c r="G718" s="19"/>
      <c r="H718" s="19"/>
    </row>
    <row r="719">
      <c r="G719" s="19"/>
      <c r="H719" s="19"/>
    </row>
    <row r="720">
      <c r="G720" s="19"/>
      <c r="H720" s="19"/>
    </row>
    <row r="721">
      <c r="G721" s="19"/>
      <c r="H721" s="19"/>
    </row>
    <row r="722">
      <c r="G722" s="19"/>
      <c r="H722" s="19"/>
    </row>
    <row r="723">
      <c r="G723" s="19"/>
      <c r="H723" s="19"/>
    </row>
    <row r="724">
      <c r="G724" s="19"/>
      <c r="H724" s="19"/>
    </row>
    <row r="725">
      <c r="G725" s="19"/>
      <c r="H725" s="19"/>
    </row>
    <row r="726">
      <c r="G726" s="19"/>
      <c r="H726" s="19"/>
    </row>
    <row r="727">
      <c r="G727" s="19"/>
      <c r="H727" s="19"/>
    </row>
    <row r="728">
      <c r="G728" s="19"/>
      <c r="H728" s="19"/>
    </row>
    <row r="729">
      <c r="G729" s="19"/>
      <c r="H729" s="19"/>
    </row>
    <row r="730">
      <c r="G730" s="19"/>
      <c r="H730" s="19"/>
    </row>
    <row r="731">
      <c r="G731" s="19"/>
      <c r="H731" s="19"/>
    </row>
    <row r="732">
      <c r="G732" s="19"/>
      <c r="H732" s="19"/>
    </row>
    <row r="733">
      <c r="G733" s="19"/>
      <c r="H733" s="19"/>
    </row>
    <row r="734">
      <c r="G734" s="19"/>
      <c r="H734" s="19"/>
    </row>
    <row r="735">
      <c r="G735" s="19"/>
      <c r="H735" s="19"/>
    </row>
    <row r="736">
      <c r="G736" s="19"/>
      <c r="H736" s="19"/>
    </row>
    <row r="737">
      <c r="G737" s="19"/>
      <c r="H737" s="19"/>
    </row>
    <row r="738">
      <c r="G738" s="19"/>
      <c r="H738" s="19"/>
    </row>
    <row r="739">
      <c r="G739" s="19"/>
      <c r="H739" s="19"/>
    </row>
    <row r="740">
      <c r="G740" s="19"/>
      <c r="H740" s="19"/>
    </row>
    <row r="741">
      <c r="G741" s="19"/>
      <c r="H741" s="19"/>
    </row>
    <row r="742">
      <c r="G742" s="19"/>
      <c r="H742" s="19"/>
    </row>
    <row r="743">
      <c r="G743" s="19"/>
      <c r="H743" s="19"/>
    </row>
    <row r="744">
      <c r="G744" s="19"/>
      <c r="H744" s="19"/>
    </row>
    <row r="745">
      <c r="G745" s="19"/>
      <c r="H745" s="19"/>
    </row>
    <row r="746">
      <c r="G746" s="19"/>
      <c r="H746" s="19"/>
    </row>
    <row r="747">
      <c r="G747" s="19"/>
      <c r="H747" s="19"/>
    </row>
    <row r="748">
      <c r="G748" s="19"/>
      <c r="H748" s="19"/>
    </row>
    <row r="749">
      <c r="G749" s="19"/>
      <c r="H749" s="19"/>
    </row>
    <row r="750">
      <c r="G750" s="19"/>
      <c r="H750" s="19"/>
    </row>
    <row r="751">
      <c r="G751" s="19"/>
      <c r="H751" s="19"/>
    </row>
    <row r="752">
      <c r="G752" s="19"/>
      <c r="H752" s="19"/>
    </row>
    <row r="753">
      <c r="G753" s="19"/>
      <c r="H753" s="19"/>
    </row>
    <row r="754">
      <c r="G754" s="19"/>
      <c r="H754" s="19"/>
    </row>
    <row r="755">
      <c r="G755" s="19"/>
      <c r="H755" s="19"/>
    </row>
    <row r="756">
      <c r="G756" s="19"/>
      <c r="H756" s="19"/>
    </row>
    <row r="757">
      <c r="G757" s="19"/>
      <c r="H757" s="19"/>
    </row>
    <row r="758">
      <c r="G758" s="19"/>
      <c r="H758" s="19"/>
    </row>
    <row r="759">
      <c r="G759" s="19"/>
      <c r="H759" s="19"/>
    </row>
    <row r="760">
      <c r="G760" s="19"/>
      <c r="H760" s="19"/>
    </row>
    <row r="761">
      <c r="G761" s="19"/>
      <c r="H761" s="19"/>
    </row>
    <row r="762">
      <c r="G762" s="19"/>
      <c r="H762" s="19"/>
    </row>
    <row r="763">
      <c r="G763" s="19"/>
      <c r="H763" s="19"/>
    </row>
    <row r="764">
      <c r="G764" s="19"/>
      <c r="H764" s="19"/>
    </row>
    <row r="765">
      <c r="G765" s="19"/>
      <c r="H765" s="19"/>
    </row>
    <row r="766">
      <c r="G766" s="19"/>
      <c r="H766" s="19"/>
    </row>
    <row r="767">
      <c r="G767" s="19"/>
      <c r="H767" s="19"/>
    </row>
    <row r="768">
      <c r="G768" s="19"/>
      <c r="H768" s="19"/>
    </row>
    <row r="769">
      <c r="G769" s="19"/>
      <c r="H769" s="19"/>
    </row>
    <row r="770">
      <c r="G770" s="19"/>
      <c r="H770" s="19"/>
    </row>
    <row r="771">
      <c r="G771" s="19"/>
      <c r="H771" s="19"/>
    </row>
    <row r="772">
      <c r="G772" s="19"/>
      <c r="H772" s="19"/>
    </row>
    <row r="773">
      <c r="G773" s="19"/>
      <c r="H773" s="19"/>
    </row>
    <row r="774">
      <c r="G774" s="19"/>
      <c r="H774" s="19"/>
    </row>
    <row r="775">
      <c r="G775" s="19"/>
      <c r="H775" s="19"/>
    </row>
    <row r="776">
      <c r="G776" s="19"/>
      <c r="H776" s="19"/>
    </row>
    <row r="777">
      <c r="G777" s="19"/>
      <c r="H777" s="19"/>
    </row>
    <row r="778">
      <c r="G778" s="19"/>
      <c r="H778" s="19"/>
    </row>
    <row r="779">
      <c r="G779" s="19"/>
      <c r="H779" s="19"/>
    </row>
    <row r="780">
      <c r="G780" s="19"/>
      <c r="H780" s="19"/>
    </row>
    <row r="781">
      <c r="G781" s="19"/>
      <c r="H781" s="19"/>
    </row>
    <row r="782">
      <c r="G782" s="19"/>
      <c r="H782" s="19"/>
    </row>
    <row r="783">
      <c r="G783" s="19"/>
      <c r="H783" s="19"/>
    </row>
    <row r="784">
      <c r="G784" s="19"/>
      <c r="H784" s="19"/>
    </row>
    <row r="785">
      <c r="G785" s="19"/>
      <c r="H785" s="19"/>
    </row>
    <row r="786">
      <c r="G786" s="19"/>
      <c r="H786" s="19"/>
    </row>
    <row r="787">
      <c r="G787" s="19"/>
      <c r="H787" s="19"/>
    </row>
    <row r="788">
      <c r="G788" s="19"/>
      <c r="H788" s="19"/>
    </row>
    <row r="789">
      <c r="G789" s="19"/>
      <c r="H789" s="19"/>
    </row>
    <row r="790">
      <c r="G790" s="19"/>
      <c r="H790" s="19"/>
    </row>
    <row r="791">
      <c r="G791" s="19"/>
      <c r="H791" s="19"/>
    </row>
    <row r="792">
      <c r="G792" s="19"/>
      <c r="H792" s="19"/>
    </row>
    <row r="793">
      <c r="G793" s="19"/>
      <c r="H793" s="19"/>
    </row>
    <row r="794">
      <c r="G794" s="19"/>
      <c r="H794" s="19"/>
    </row>
    <row r="795">
      <c r="G795" s="19"/>
      <c r="H795" s="19"/>
    </row>
    <row r="796">
      <c r="G796" s="19"/>
      <c r="H796" s="19"/>
    </row>
    <row r="797">
      <c r="G797" s="19"/>
      <c r="H797" s="19"/>
    </row>
    <row r="798">
      <c r="G798" s="19"/>
      <c r="H798" s="19"/>
    </row>
    <row r="799">
      <c r="G799" s="19"/>
      <c r="H799" s="19"/>
    </row>
    <row r="800">
      <c r="G800" s="19"/>
      <c r="H800" s="19"/>
    </row>
    <row r="801">
      <c r="G801" s="19"/>
      <c r="H801" s="19"/>
    </row>
    <row r="802">
      <c r="G802" s="19"/>
      <c r="H802" s="19"/>
    </row>
    <row r="803">
      <c r="G803" s="19"/>
      <c r="H803" s="19"/>
    </row>
    <row r="804">
      <c r="G804" s="19"/>
      <c r="H804" s="19"/>
    </row>
    <row r="805">
      <c r="G805" s="19"/>
      <c r="H805" s="19"/>
    </row>
    <row r="806">
      <c r="G806" s="19"/>
      <c r="H806" s="19"/>
    </row>
    <row r="807">
      <c r="G807" s="19"/>
      <c r="H807" s="19"/>
    </row>
    <row r="808">
      <c r="G808" s="19"/>
      <c r="H808" s="19"/>
    </row>
    <row r="809">
      <c r="G809" s="19"/>
      <c r="H809" s="19"/>
    </row>
    <row r="810">
      <c r="G810" s="19"/>
      <c r="H810" s="19"/>
    </row>
    <row r="811">
      <c r="G811" s="19"/>
      <c r="H811" s="19"/>
    </row>
    <row r="812">
      <c r="G812" s="19"/>
      <c r="H812" s="19"/>
    </row>
    <row r="813">
      <c r="G813" s="19"/>
      <c r="H813" s="19"/>
    </row>
    <row r="814">
      <c r="G814" s="19"/>
      <c r="H814" s="19"/>
    </row>
    <row r="815">
      <c r="G815" s="19"/>
      <c r="H815" s="19"/>
    </row>
    <row r="816">
      <c r="G816" s="19"/>
      <c r="H816" s="19"/>
    </row>
    <row r="817">
      <c r="G817" s="19"/>
      <c r="H817" s="19"/>
    </row>
    <row r="818">
      <c r="G818" s="19"/>
      <c r="H818" s="19"/>
    </row>
    <row r="819">
      <c r="G819" s="19"/>
      <c r="H819" s="19"/>
    </row>
    <row r="820">
      <c r="G820" s="19"/>
      <c r="H820" s="19"/>
    </row>
    <row r="821">
      <c r="G821" s="19"/>
      <c r="H821" s="19"/>
    </row>
    <row r="822">
      <c r="G822" s="19"/>
      <c r="H822" s="19"/>
    </row>
    <row r="823">
      <c r="G823" s="19"/>
      <c r="H823" s="19"/>
    </row>
    <row r="824">
      <c r="G824" s="19"/>
      <c r="H824" s="19"/>
    </row>
    <row r="825">
      <c r="G825" s="19"/>
      <c r="H825" s="19"/>
    </row>
    <row r="826">
      <c r="G826" s="19"/>
      <c r="H826" s="19"/>
    </row>
    <row r="827">
      <c r="G827" s="19"/>
      <c r="H827" s="19"/>
    </row>
    <row r="828">
      <c r="G828" s="19"/>
      <c r="H828" s="19"/>
    </row>
    <row r="829">
      <c r="G829" s="19"/>
      <c r="H829" s="19"/>
    </row>
    <row r="830">
      <c r="G830" s="19"/>
      <c r="H830" s="19"/>
    </row>
    <row r="831">
      <c r="G831" s="19"/>
      <c r="H831" s="19"/>
    </row>
    <row r="832">
      <c r="G832" s="19"/>
      <c r="H832" s="19"/>
    </row>
    <row r="833">
      <c r="G833" s="19"/>
      <c r="H833" s="19"/>
    </row>
    <row r="834">
      <c r="G834" s="19"/>
      <c r="H834" s="19"/>
    </row>
    <row r="835">
      <c r="G835" s="19"/>
      <c r="H835" s="19"/>
    </row>
    <row r="836">
      <c r="G836" s="19"/>
      <c r="H836" s="19"/>
    </row>
    <row r="837">
      <c r="G837" s="19"/>
      <c r="H837" s="19"/>
    </row>
    <row r="838">
      <c r="G838" s="19"/>
      <c r="H838" s="19"/>
    </row>
    <row r="839">
      <c r="G839" s="19"/>
      <c r="H839" s="19"/>
    </row>
    <row r="840">
      <c r="G840" s="19"/>
      <c r="H840" s="19"/>
    </row>
    <row r="841">
      <c r="G841" s="19"/>
      <c r="H841" s="19"/>
    </row>
    <row r="842">
      <c r="G842" s="19"/>
      <c r="H842" s="19"/>
    </row>
    <row r="843">
      <c r="G843" s="19"/>
      <c r="H843" s="19"/>
    </row>
    <row r="844">
      <c r="G844" s="19"/>
      <c r="H844" s="19"/>
    </row>
    <row r="845">
      <c r="G845" s="19"/>
      <c r="H845" s="19"/>
    </row>
    <row r="846">
      <c r="G846" s="19"/>
      <c r="H846" s="19"/>
    </row>
    <row r="847">
      <c r="G847" s="19"/>
      <c r="H847" s="19"/>
    </row>
    <row r="848">
      <c r="G848" s="19"/>
      <c r="H848" s="19"/>
    </row>
    <row r="849">
      <c r="G849" s="19"/>
      <c r="H849" s="19"/>
    </row>
    <row r="850">
      <c r="G850" s="19"/>
      <c r="H850" s="19"/>
    </row>
    <row r="851">
      <c r="G851" s="19"/>
      <c r="H851" s="19"/>
    </row>
    <row r="852">
      <c r="G852" s="19"/>
      <c r="H852" s="19"/>
    </row>
    <row r="853">
      <c r="G853" s="19"/>
      <c r="H853" s="19"/>
    </row>
    <row r="854">
      <c r="G854" s="19"/>
      <c r="H854" s="19"/>
    </row>
    <row r="855">
      <c r="G855" s="19"/>
      <c r="H855" s="19"/>
    </row>
    <row r="856">
      <c r="G856" s="19"/>
      <c r="H856" s="19"/>
    </row>
    <row r="857">
      <c r="G857" s="19"/>
      <c r="H857" s="19"/>
    </row>
    <row r="858">
      <c r="G858" s="19"/>
      <c r="H858" s="19"/>
    </row>
    <row r="859">
      <c r="G859" s="19"/>
      <c r="H859" s="19"/>
    </row>
    <row r="860">
      <c r="G860" s="19"/>
      <c r="H860" s="19"/>
    </row>
    <row r="861">
      <c r="G861" s="19"/>
      <c r="H861" s="19"/>
    </row>
    <row r="862">
      <c r="G862" s="19"/>
      <c r="H862" s="19"/>
    </row>
    <row r="863">
      <c r="G863" s="19"/>
      <c r="H863" s="19"/>
    </row>
    <row r="864">
      <c r="G864" s="19"/>
      <c r="H864" s="19"/>
    </row>
    <row r="865">
      <c r="G865" s="19"/>
      <c r="H865" s="19"/>
    </row>
    <row r="866">
      <c r="G866" s="19"/>
      <c r="H866" s="19"/>
    </row>
    <row r="867">
      <c r="G867" s="19"/>
      <c r="H867" s="19"/>
    </row>
    <row r="868">
      <c r="G868" s="19"/>
      <c r="H868" s="19"/>
    </row>
    <row r="869">
      <c r="G869" s="19"/>
      <c r="H869" s="19"/>
    </row>
    <row r="870">
      <c r="G870" s="19"/>
      <c r="H870" s="19"/>
    </row>
    <row r="871">
      <c r="G871" s="19"/>
      <c r="H871" s="19"/>
    </row>
    <row r="872">
      <c r="G872" s="19"/>
      <c r="H872" s="19"/>
    </row>
    <row r="873">
      <c r="G873" s="19"/>
      <c r="H873" s="19"/>
    </row>
    <row r="874">
      <c r="G874" s="19"/>
      <c r="H874" s="19"/>
    </row>
    <row r="875">
      <c r="G875" s="19"/>
      <c r="H875" s="19"/>
    </row>
    <row r="876">
      <c r="G876" s="19"/>
      <c r="H876" s="19"/>
    </row>
    <row r="877">
      <c r="G877" s="19"/>
      <c r="H877" s="19"/>
    </row>
    <row r="878">
      <c r="G878" s="19"/>
      <c r="H878" s="19"/>
    </row>
    <row r="879">
      <c r="G879" s="19"/>
      <c r="H879" s="19"/>
    </row>
    <row r="880">
      <c r="G880" s="19"/>
      <c r="H880" s="19"/>
    </row>
    <row r="881">
      <c r="G881" s="19"/>
      <c r="H881" s="19"/>
    </row>
    <row r="882">
      <c r="G882" s="19"/>
      <c r="H882" s="19"/>
    </row>
    <row r="883">
      <c r="G883" s="19"/>
      <c r="H883" s="19"/>
    </row>
    <row r="884">
      <c r="G884" s="19"/>
      <c r="H884" s="19"/>
    </row>
    <row r="885">
      <c r="G885" s="19"/>
      <c r="H885" s="19"/>
    </row>
    <row r="886">
      <c r="G886" s="19"/>
      <c r="H886" s="19"/>
    </row>
    <row r="887">
      <c r="G887" s="19"/>
      <c r="H887" s="19"/>
    </row>
    <row r="888">
      <c r="G888" s="19"/>
      <c r="H888" s="19"/>
    </row>
    <row r="889">
      <c r="G889" s="19"/>
      <c r="H889" s="19"/>
    </row>
    <row r="890">
      <c r="G890" s="19"/>
      <c r="H890" s="19"/>
    </row>
    <row r="891">
      <c r="G891" s="19"/>
      <c r="H891" s="19"/>
    </row>
    <row r="892">
      <c r="G892" s="19"/>
      <c r="H892" s="19"/>
    </row>
    <row r="893">
      <c r="G893" s="19"/>
      <c r="H893" s="19"/>
    </row>
    <row r="894">
      <c r="G894" s="19"/>
      <c r="H894" s="19"/>
    </row>
    <row r="895">
      <c r="G895" s="19"/>
      <c r="H895" s="19"/>
    </row>
    <row r="896">
      <c r="G896" s="19"/>
      <c r="H896" s="19"/>
    </row>
    <row r="897">
      <c r="G897" s="19"/>
      <c r="H897" s="19"/>
    </row>
    <row r="898">
      <c r="G898" s="19"/>
      <c r="H898" s="19"/>
    </row>
    <row r="899">
      <c r="G899" s="19"/>
      <c r="H899" s="19"/>
    </row>
    <row r="900">
      <c r="G900" s="19"/>
      <c r="H900" s="19"/>
    </row>
    <row r="901">
      <c r="G901" s="19"/>
      <c r="H901" s="19"/>
    </row>
    <row r="902">
      <c r="G902" s="19"/>
      <c r="H902" s="19"/>
    </row>
    <row r="903">
      <c r="G903" s="19"/>
      <c r="H903" s="19"/>
    </row>
    <row r="904">
      <c r="G904" s="19"/>
      <c r="H904" s="19"/>
    </row>
    <row r="905">
      <c r="G905" s="19"/>
      <c r="H905" s="19"/>
    </row>
    <row r="906">
      <c r="G906" s="19"/>
      <c r="H906" s="19"/>
    </row>
    <row r="907">
      <c r="G907" s="19"/>
      <c r="H907" s="19"/>
    </row>
    <row r="908">
      <c r="G908" s="19"/>
      <c r="H908" s="19"/>
    </row>
    <row r="909">
      <c r="G909" s="19"/>
      <c r="H909" s="19"/>
    </row>
    <row r="910">
      <c r="G910" s="19"/>
      <c r="H910" s="19"/>
    </row>
    <row r="911">
      <c r="G911" s="19"/>
      <c r="H911" s="19"/>
    </row>
    <row r="912">
      <c r="G912" s="19"/>
      <c r="H912" s="19"/>
    </row>
    <row r="913">
      <c r="G913" s="19"/>
      <c r="H913" s="19"/>
    </row>
    <row r="914">
      <c r="G914" s="19"/>
      <c r="H914" s="19"/>
    </row>
    <row r="915">
      <c r="G915" s="19"/>
      <c r="H915" s="19"/>
    </row>
    <row r="916">
      <c r="G916" s="19"/>
      <c r="H916" s="19"/>
    </row>
    <row r="917">
      <c r="G917" s="19"/>
      <c r="H917" s="19"/>
    </row>
    <row r="918">
      <c r="G918" s="19"/>
      <c r="H918" s="19"/>
    </row>
    <row r="919">
      <c r="G919" s="19"/>
      <c r="H919" s="19"/>
    </row>
    <row r="920">
      <c r="G920" s="19"/>
      <c r="H920" s="19"/>
    </row>
    <row r="921">
      <c r="G921" s="19"/>
      <c r="H921" s="19"/>
    </row>
    <row r="922">
      <c r="G922" s="19"/>
      <c r="H922" s="19"/>
    </row>
    <row r="923">
      <c r="G923" s="19"/>
      <c r="H923" s="19"/>
    </row>
    <row r="924">
      <c r="G924" s="19"/>
      <c r="H924" s="19"/>
    </row>
    <row r="925">
      <c r="G925" s="19"/>
      <c r="H925" s="19"/>
    </row>
    <row r="926">
      <c r="G926" s="19"/>
      <c r="H926" s="19"/>
    </row>
    <row r="927">
      <c r="G927" s="19"/>
      <c r="H927" s="19"/>
    </row>
    <row r="928">
      <c r="G928" s="19"/>
      <c r="H928" s="19"/>
    </row>
    <row r="929">
      <c r="G929" s="19"/>
      <c r="H929" s="19"/>
    </row>
    <row r="930">
      <c r="G930" s="19"/>
      <c r="H930" s="19"/>
    </row>
    <row r="931">
      <c r="G931" s="19"/>
      <c r="H931" s="19"/>
    </row>
    <row r="932">
      <c r="G932" s="19"/>
      <c r="H932" s="19"/>
    </row>
    <row r="933">
      <c r="G933" s="19"/>
      <c r="H933" s="19"/>
    </row>
    <row r="934">
      <c r="G934" s="19"/>
      <c r="H934" s="19"/>
    </row>
    <row r="935">
      <c r="G935" s="19"/>
      <c r="H935" s="19"/>
    </row>
    <row r="936">
      <c r="G936" s="19"/>
      <c r="H936" s="19"/>
    </row>
    <row r="937">
      <c r="G937" s="19"/>
      <c r="H937" s="19"/>
    </row>
    <row r="938">
      <c r="G938" s="19"/>
      <c r="H938" s="19"/>
    </row>
    <row r="939">
      <c r="G939" s="19"/>
      <c r="H939" s="19"/>
    </row>
    <row r="940">
      <c r="G940" s="19"/>
      <c r="H940" s="19"/>
    </row>
    <row r="941">
      <c r="G941" s="19"/>
      <c r="H941" s="19"/>
    </row>
    <row r="942">
      <c r="G942" s="19"/>
      <c r="H942" s="19"/>
    </row>
    <row r="943">
      <c r="G943" s="19"/>
      <c r="H943" s="19"/>
    </row>
    <row r="944">
      <c r="G944" s="19"/>
      <c r="H944" s="19"/>
    </row>
    <row r="945">
      <c r="G945" s="19"/>
      <c r="H945" s="19"/>
    </row>
    <row r="946">
      <c r="G946" s="19"/>
      <c r="H946" s="19"/>
    </row>
    <row r="947">
      <c r="G947" s="19"/>
      <c r="H947" s="19"/>
    </row>
    <row r="948">
      <c r="G948" s="19"/>
      <c r="H948" s="19"/>
    </row>
    <row r="949">
      <c r="G949" s="19"/>
      <c r="H949" s="19"/>
    </row>
    <row r="950">
      <c r="G950" s="19"/>
      <c r="H950" s="19"/>
    </row>
    <row r="951">
      <c r="G951" s="19"/>
      <c r="H951" s="19"/>
    </row>
    <row r="952">
      <c r="G952" s="19"/>
      <c r="H952" s="19"/>
    </row>
    <row r="953">
      <c r="G953" s="19"/>
      <c r="H953" s="19"/>
    </row>
    <row r="954">
      <c r="G954" s="19"/>
      <c r="H954" s="19"/>
    </row>
    <row r="955">
      <c r="G955" s="19"/>
      <c r="H955" s="19"/>
    </row>
    <row r="956">
      <c r="G956" s="19"/>
      <c r="H956" s="19"/>
    </row>
    <row r="957">
      <c r="G957" s="19"/>
      <c r="H957" s="19"/>
    </row>
    <row r="958">
      <c r="G958" s="19"/>
      <c r="H958" s="19"/>
    </row>
    <row r="959">
      <c r="G959" s="19"/>
      <c r="H959" s="19"/>
    </row>
    <row r="960">
      <c r="G960" s="19"/>
      <c r="H960" s="19"/>
    </row>
    <row r="961">
      <c r="G961" s="19"/>
      <c r="H961" s="19"/>
    </row>
    <row r="962">
      <c r="G962" s="19"/>
      <c r="H962" s="19"/>
    </row>
    <row r="963">
      <c r="G963" s="19"/>
      <c r="H963" s="19"/>
    </row>
    <row r="964">
      <c r="G964" s="19"/>
      <c r="H964" s="19"/>
    </row>
    <row r="965">
      <c r="G965" s="19"/>
      <c r="H965" s="19"/>
    </row>
    <row r="966">
      <c r="G966" s="19"/>
      <c r="H966" s="19"/>
    </row>
    <row r="967">
      <c r="G967" s="19"/>
      <c r="H967" s="19"/>
    </row>
    <row r="968">
      <c r="G968" s="19"/>
      <c r="H968" s="19"/>
    </row>
    <row r="969">
      <c r="G969" s="19"/>
      <c r="H969" s="19"/>
    </row>
    <row r="970">
      <c r="G970" s="19"/>
      <c r="H970" s="19"/>
    </row>
    <row r="971">
      <c r="G971" s="19"/>
      <c r="H971" s="19"/>
    </row>
    <row r="972">
      <c r="G972" s="19"/>
      <c r="H972" s="19"/>
    </row>
    <row r="973">
      <c r="G973" s="19"/>
      <c r="H973" s="19"/>
    </row>
    <row r="974">
      <c r="G974" s="19"/>
      <c r="H974" s="19"/>
    </row>
    <row r="975">
      <c r="G975" s="19"/>
      <c r="H975" s="19"/>
    </row>
    <row r="976">
      <c r="G976" s="19"/>
      <c r="H976" s="19"/>
    </row>
    <row r="977">
      <c r="G977" s="19"/>
      <c r="H977" s="19"/>
    </row>
    <row r="978">
      <c r="G978" s="19"/>
      <c r="H978" s="19"/>
    </row>
    <row r="979">
      <c r="G979" s="19"/>
      <c r="H979" s="19"/>
    </row>
    <row r="980">
      <c r="G980" s="19"/>
      <c r="H980" s="19"/>
    </row>
    <row r="981">
      <c r="G981" s="19"/>
      <c r="H981" s="19"/>
    </row>
    <row r="982">
      <c r="G982" s="19"/>
      <c r="H982" s="19"/>
    </row>
    <row r="983">
      <c r="G983" s="19"/>
      <c r="H983" s="19"/>
    </row>
    <row r="984">
      <c r="G984" s="19"/>
      <c r="H984" s="19"/>
    </row>
    <row r="985">
      <c r="G985" s="19"/>
      <c r="H985" s="19"/>
    </row>
    <row r="986">
      <c r="G986" s="19"/>
      <c r="H986" s="19"/>
    </row>
    <row r="987">
      <c r="G987" s="19"/>
      <c r="H987" s="19"/>
    </row>
    <row r="988">
      <c r="G988" s="19"/>
      <c r="H988" s="19"/>
    </row>
    <row r="989">
      <c r="G989" s="19"/>
      <c r="H989" s="19"/>
    </row>
    <row r="990">
      <c r="G990" s="19"/>
      <c r="H990" s="19"/>
    </row>
    <row r="991">
      <c r="G991" s="19"/>
      <c r="H991" s="19"/>
    </row>
    <row r="992">
      <c r="G992" s="19"/>
      <c r="H992" s="19"/>
    </row>
    <row r="993">
      <c r="G993" s="19"/>
      <c r="H993" s="19"/>
    </row>
    <row r="994">
      <c r="G994" s="19"/>
      <c r="H994" s="19"/>
    </row>
    <row r="995">
      <c r="G995" s="19"/>
      <c r="H995" s="19"/>
    </row>
    <row r="996">
      <c r="G996" s="19"/>
      <c r="H996" s="19"/>
    </row>
    <row r="997">
      <c r="G997" s="19"/>
      <c r="H997" s="19"/>
    </row>
    <row r="998">
      <c r="G998" s="19"/>
      <c r="H998" s="19"/>
    </row>
    <row r="999">
      <c r="G999" s="19"/>
      <c r="H999" s="19"/>
    </row>
    <row r="1000">
      <c r="G1000" s="19"/>
      <c r="H1000" s="19"/>
    </row>
  </sheetData>
  <drawing r:id="rId1"/>
</worksheet>
</file>